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K:\MARKET DEVELOPMENT\35 - Green markets\Guarantees of Origin\GO piacelemzés\"/>
    </mc:Choice>
  </mc:AlternateContent>
  <xr:revisionPtr revIDLastSave="0" documentId="13_ncr:1_{6E0100F6-A120-4FAF-9674-31B6593E28AC}" xr6:coauthVersionLast="47" xr6:coauthVersionMax="47" xr10:uidLastSave="{00000000-0000-0000-0000-000000000000}"/>
  <bookViews>
    <workbookView xWindow="-109" yWindow="-109" windowWidth="26301" windowHeight="14305" tabRatio="666" xr2:uid="{02983F08-955B-4AD6-8153-58704D6BCA30}"/>
  </bookViews>
  <sheets>
    <sheet name="Calculator" sheetId="1" r:id="rId1"/>
    <sheet name="Profitability range" sheetId="11" r:id="rId2"/>
    <sheet name="10 MW business case" sheetId="14" r:id="rId3"/>
    <sheet name="HUN" sheetId="15" state="hidden" r:id="rId4"/>
    <sheet name="Charts" sheetId="13" r:id="rId5"/>
    <sheet name="FiT production volumes" sheetId="8" r:id="rId6"/>
    <sheet name="Hungarian capacity factors" sheetId="9" r:id="rId7"/>
    <sheet name="Last prices" sheetId="2" r:id="rId8"/>
  </sheets>
  <externalReferences>
    <externalReference r:id="rId9"/>
  </externalReferences>
  <definedNames>
    <definedName name="page\x2dtotal">[1]KAT_KE_elszamolas_2!#REF!</definedName>
    <definedName name="page\x2dtotal\x2dmaster0">[1]KAT_KE_elszamolas_2!#REF!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8" i="15" l="1"/>
  <c r="C17" i="15"/>
  <c r="I16" i="15"/>
  <c r="I14" i="15"/>
  <c r="C16" i="15" s="1"/>
  <c r="J12" i="15"/>
  <c r="C14" i="14"/>
  <c r="C19" i="14"/>
  <c r="C18" i="14"/>
  <c r="C17" i="14"/>
  <c r="C16" i="14"/>
  <c r="C15" i="14"/>
  <c r="C13" i="14"/>
  <c r="C12" i="14"/>
  <c r="I17" i="14"/>
  <c r="I16" i="14"/>
  <c r="I14" i="14"/>
  <c r="I19" i="14" s="1"/>
  <c r="I18" i="14"/>
  <c r="J12" i="14"/>
  <c r="I17" i="1"/>
  <c r="B21" i="11"/>
  <c r="B20" i="11"/>
  <c r="B19" i="11"/>
  <c r="B18" i="11"/>
  <c r="B17" i="11"/>
  <c r="B16" i="11"/>
  <c r="B15" i="11"/>
  <c r="B14" i="11"/>
  <c r="B13" i="11"/>
  <c r="B12" i="11"/>
  <c r="B11" i="11"/>
  <c r="B10" i="11"/>
  <c r="B9" i="11"/>
  <c r="B8" i="11"/>
  <c r="B7" i="11"/>
  <c r="B6" i="11"/>
  <c r="B5" i="11"/>
  <c r="B4" i="11"/>
  <c r="B3" i="11"/>
  <c r="I16" i="1"/>
  <c r="M22" i="11"/>
  <c r="L22" i="11"/>
  <c r="K22" i="11"/>
  <c r="M21" i="11"/>
  <c r="L21" i="11"/>
  <c r="K21" i="11"/>
  <c r="M20" i="11"/>
  <c r="L20" i="11"/>
  <c r="K20" i="11"/>
  <c r="M19" i="11"/>
  <c r="L19" i="11"/>
  <c r="K19" i="11"/>
  <c r="M18" i="11"/>
  <c r="L18" i="11"/>
  <c r="K18" i="11"/>
  <c r="M17" i="11"/>
  <c r="L17" i="11"/>
  <c r="K17" i="11"/>
  <c r="M16" i="11"/>
  <c r="L16" i="11"/>
  <c r="K16" i="11"/>
  <c r="M15" i="11"/>
  <c r="L15" i="11"/>
  <c r="K15" i="11"/>
  <c r="M14" i="11"/>
  <c r="L14" i="11"/>
  <c r="K14" i="11"/>
  <c r="M13" i="11"/>
  <c r="L13" i="11"/>
  <c r="K13" i="11"/>
  <c r="M12" i="11"/>
  <c r="L12" i="11"/>
  <c r="K12" i="11"/>
  <c r="M11" i="11"/>
  <c r="L11" i="11"/>
  <c r="K11" i="11"/>
  <c r="M10" i="11"/>
  <c r="L10" i="11"/>
  <c r="K10" i="11"/>
  <c r="M9" i="11"/>
  <c r="L9" i="11"/>
  <c r="K9" i="11"/>
  <c r="M8" i="11"/>
  <c r="L8" i="11"/>
  <c r="K8" i="11"/>
  <c r="M7" i="11"/>
  <c r="L7" i="11"/>
  <c r="K7" i="11"/>
  <c r="M6" i="11"/>
  <c r="L6" i="11"/>
  <c r="K6" i="11"/>
  <c r="M5" i="11"/>
  <c r="L5" i="11"/>
  <c r="K5" i="11"/>
  <c r="M4" i="11"/>
  <c r="L4" i="11"/>
  <c r="K4" i="11"/>
  <c r="M3" i="11"/>
  <c r="L3" i="11"/>
  <c r="K3" i="11"/>
  <c r="M2" i="11"/>
  <c r="L2" i="11"/>
  <c r="K2" i="11"/>
  <c r="F21" i="11"/>
  <c r="E21" i="11"/>
  <c r="F20" i="11"/>
  <c r="E20" i="11"/>
  <c r="F19" i="11"/>
  <c r="E19" i="11"/>
  <c r="F18" i="11"/>
  <c r="E18" i="11"/>
  <c r="F17" i="11"/>
  <c r="E17" i="11"/>
  <c r="F16" i="11"/>
  <c r="E16" i="11"/>
  <c r="F15" i="11"/>
  <c r="E15" i="11"/>
  <c r="F14" i="11"/>
  <c r="E14" i="11"/>
  <c r="F13" i="11"/>
  <c r="E13" i="11"/>
  <c r="F12" i="11"/>
  <c r="E12" i="11"/>
  <c r="F11" i="11"/>
  <c r="E11" i="11"/>
  <c r="F10" i="11"/>
  <c r="E10" i="11"/>
  <c r="F9" i="11"/>
  <c r="E9" i="11"/>
  <c r="F8" i="11"/>
  <c r="E8" i="11"/>
  <c r="F7" i="11"/>
  <c r="E7" i="11"/>
  <c r="F6" i="11"/>
  <c r="E6" i="11"/>
  <c r="F5" i="11"/>
  <c r="E5" i="11"/>
  <c r="F4" i="11"/>
  <c r="E4" i="11"/>
  <c r="F3" i="11"/>
  <c r="E3" i="11"/>
  <c r="F2" i="11"/>
  <c r="E2" i="11"/>
  <c r="D21" i="11"/>
  <c r="D20" i="11"/>
  <c r="D19" i="11"/>
  <c r="D18" i="11"/>
  <c r="D17" i="11"/>
  <c r="D16" i="11"/>
  <c r="D15" i="11"/>
  <c r="D14" i="11"/>
  <c r="D13" i="11"/>
  <c r="D12" i="11"/>
  <c r="D11" i="11"/>
  <c r="D10" i="11"/>
  <c r="D9" i="11"/>
  <c r="D8" i="11"/>
  <c r="D7" i="11"/>
  <c r="D6" i="11"/>
  <c r="D5" i="11"/>
  <c r="D4" i="11"/>
  <c r="D3" i="11"/>
  <c r="D2" i="11"/>
  <c r="I17" i="15" l="1"/>
  <c r="C18" i="15"/>
  <c r="C15" i="15"/>
  <c r="C19" i="15" s="1"/>
  <c r="C12" i="15"/>
  <c r="C13" i="15"/>
  <c r="C14" i="15"/>
  <c r="I15" i="15"/>
  <c r="I19" i="15"/>
  <c r="I20" i="15" s="1"/>
  <c r="I15" i="14"/>
  <c r="I20" i="14"/>
  <c r="I21" i="14" s="1"/>
  <c r="B2" i="11"/>
  <c r="I21" i="15" l="1"/>
  <c r="C2" i="11"/>
  <c r="C21" i="11"/>
  <c r="C8" i="11"/>
  <c r="C10" i="11"/>
  <c r="C16" i="11"/>
  <c r="C3" i="11"/>
  <c r="C9" i="11"/>
  <c r="C11" i="11"/>
  <c r="C17" i="11"/>
  <c r="C12" i="11"/>
  <c r="C4" i="11"/>
  <c r="C5" i="11"/>
  <c r="C19" i="11"/>
  <c r="C15" i="11"/>
  <c r="C18" i="11"/>
  <c r="C14" i="11"/>
  <c r="C6" i="11"/>
  <c r="C20" i="11"/>
  <c r="C13" i="11"/>
  <c r="C7" i="11"/>
  <c r="I21" i="11" l="1"/>
  <c r="P21" i="11" s="1"/>
  <c r="Q21" i="11" s="1"/>
  <c r="I20" i="11"/>
  <c r="P20" i="11" s="1"/>
  <c r="R20" i="11" s="1"/>
  <c r="I19" i="11"/>
  <c r="P19" i="11" s="1"/>
  <c r="Q19" i="11" s="1"/>
  <c r="I18" i="11"/>
  <c r="P18" i="11" s="1"/>
  <c r="R18" i="11" s="1"/>
  <c r="I17" i="11"/>
  <c r="I16" i="11"/>
  <c r="I15" i="11"/>
  <c r="I14" i="11"/>
  <c r="P14" i="11" s="1"/>
  <c r="I13" i="11"/>
  <c r="P13" i="11" s="1"/>
  <c r="Q13" i="11" s="1"/>
  <c r="I12" i="11"/>
  <c r="P12" i="11" s="1"/>
  <c r="Q12" i="11" s="1"/>
  <c r="I11" i="11"/>
  <c r="P11" i="11" s="1"/>
  <c r="Q11" i="11" s="1"/>
  <c r="I10" i="11"/>
  <c r="P10" i="11" s="1"/>
  <c r="Q10" i="11" s="1"/>
  <c r="I9" i="11"/>
  <c r="P9" i="11" s="1"/>
  <c r="Q9" i="11" s="1"/>
  <c r="I8" i="11"/>
  <c r="I7" i="11"/>
  <c r="I6" i="11"/>
  <c r="P6" i="11" s="1"/>
  <c r="I5" i="11"/>
  <c r="P5" i="11" s="1"/>
  <c r="Q5" i="11" s="1"/>
  <c r="I4" i="11"/>
  <c r="P4" i="11" s="1"/>
  <c r="I3" i="11"/>
  <c r="P3" i="11" s="1"/>
  <c r="Q3" i="11" s="1"/>
  <c r="I2" i="11"/>
  <c r="P2" i="11" s="1"/>
  <c r="R2" i="11" s="1"/>
  <c r="C6" i="1"/>
  <c r="C5" i="1"/>
  <c r="J14" i="1"/>
  <c r="P17" i="11" l="1"/>
  <c r="Q17" i="11" s="1"/>
  <c r="J4" i="11"/>
  <c r="P15" i="11"/>
  <c r="Q15" i="11" s="1"/>
  <c r="P7" i="11"/>
  <c r="Q7" i="11" s="1"/>
  <c r="P8" i="11"/>
  <c r="R8" i="11" s="1"/>
  <c r="P16" i="11"/>
  <c r="R16" i="11" s="1"/>
  <c r="Q4" i="11"/>
  <c r="R4" i="11"/>
  <c r="R6" i="11"/>
  <c r="Q6" i="11"/>
  <c r="R14" i="11"/>
  <c r="Q14" i="11"/>
  <c r="Q18" i="11"/>
  <c r="O18" i="11" s="1"/>
  <c r="R12" i="11"/>
  <c r="O12" i="11" s="1"/>
  <c r="R10" i="11"/>
  <c r="O10" i="11" s="1"/>
  <c r="Q20" i="11"/>
  <c r="O20" i="11" s="1"/>
  <c r="Q2" i="11"/>
  <c r="R3" i="11"/>
  <c r="O3" i="11" s="1"/>
  <c r="R19" i="11"/>
  <c r="O19" i="11" s="1"/>
  <c r="R5" i="11"/>
  <c r="O5" i="11" s="1"/>
  <c r="R9" i="11"/>
  <c r="O9" i="11" s="1"/>
  <c r="R13" i="11"/>
  <c r="O13" i="11" s="1"/>
  <c r="R21" i="11"/>
  <c r="O21" i="11" s="1"/>
  <c r="R11" i="11"/>
  <c r="O11" i="11" s="1"/>
  <c r="I15" i="9"/>
  <c r="H15" i="9"/>
  <c r="F15" i="9"/>
  <c r="E15" i="9"/>
  <c r="D15" i="9"/>
  <c r="C15" i="9"/>
  <c r="B15" i="9"/>
  <c r="G15" i="9"/>
  <c r="B28" i="8"/>
  <c r="B27" i="8"/>
  <c r="B26" i="8"/>
  <c r="B25" i="8"/>
  <c r="B24" i="8"/>
  <c r="B23" i="8"/>
  <c r="B22" i="8"/>
  <c r="B21" i="8"/>
  <c r="B20" i="8"/>
  <c r="B19" i="8"/>
  <c r="B18" i="8"/>
  <c r="B17" i="8"/>
  <c r="B16" i="8"/>
  <c r="B15" i="8"/>
  <c r="B14" i="8"/>
  <c r="B13" i="8"/>
  <c r="B12" i="8"/>
  <c r="B11" i="8"/>
  <c r="B10" i="8"/>
  <c r="B9" i="8"/>
  <c r="B8" i="8"/>
  <c r="B7" i="8"/>
  <c r="B6" i="8"/>
  <c r="B5" i="8"/>
  <c r="B4" i="8"/>
  <c r="B3" i="8"/>
  <c r="R17" i="11" l="1"/>
  <c r="O17" i="11" s="1"/>
  <c r="O6" i="11"/>
  <c r="Q16" i="11"/>
  <c r="O16" i="11" s="1"/>
  <c r="J18" i="11"/>
  <c r="J3" i="11"/>
  <c r="J10" i="11"/>
  <c r="J2" i="11"/>
  <c r="J17" i="11"/>
  <c r="J19" i="11"/>
  <c r="J21" i="11"/>
  <c r="J9" i="11"/>
  <c r="J5" i="11"/>
  <c r="J20" i="11"/>
  <c r="J8" i="11"/>
  <c r="J11" i="11"/>
  <c r="J15" i="11"/>
  <c r="J13" i="11"/>
  <c r="J14" i="11"/>
  <c r="J16" i="11"/>
  <c r="J12" i="11"/>
  <c r="J7" i="11"/>
  <c r="J6" i="11"/>
  <c r="R7" i="11"/>
  <c r="O7" i="11" s="1"/>
  <c r="Q8" i="11"/>
  <c r="O8" i="11" s="1"/>
  <c r="R15" i="11"/>
  <c r="O15" i="11" s="1"/>
  <c r="O14" i="11"/>
  <c r="O4" i="11"/>
  <c r="O2" i="11"/>
  <c r="M17" i="1"/>
  <c r="B13" i="9"/>
  <c r="I13" i="9"/>
  <c r="B3" i="9"/>
  <c r="C3" i="9"/>
  <c r="C8" i="9"/>
  <c r="C11" i="9"/>
  <c r="D3" i="9"/>
  <c r="D7" i="9"/>
  <c r="D11" i="9"/>
  <c r="D2" i="9"/>
  <c r="E3" i="9"/>
  <c r="E4" i="9"/>
  <c r="E5" i="9"/>
  <c r="E6" i="9"/>
  <c r="E7" i="9"/>
  <c r="E8" i="9"/>
  <c r="E9" i="9"/>
  <c r="E10" i="9"/>
  <c r="E11" i="9"/>
  <c r="E12" i="9"/>
  <c r="E13" i="9"/>
  <c r="B7" i="9"/>
  <c r="C7" i="9"/>
  <c r="C13" i="9"/>
  <c r="D4" i="9"/>
  <c r="D10" i="9"/>
  <c r="F4" i="9"/>
  <c r="F9" i="9"/>
  <c r="F10" i="9"/>
  <c r="F11" i="9"/>
  <c r="F12" i="9"/>
  <c r="F13" i="9"/>
  <c r="B6" i="9"/>
  <c r="B2" i="9"/>
  <c r="C6" i="9"/>
  <c r="C10" i="9"/>
  <c r="D5" i="9"/>
  <c r="D9" i="9"/>
  <c r="D12" i="9"/>
  <c r="E2" i="9"/>
  <c r="F8" i="9"/>
  <c r="F2" i="9"/>
  <c r="G3" i="9"/>
  <c r="G4" i="9"/>
  <c r="G5" i="9"/>
  <c r="G6" i="9"/>
  <c r="G7" i="9"/>
  <c r="G8" i="9"/>
  <c r="G9" i="9"/>
  <c r="G10" i="9"/>
  <c r="G11" i="9"/>
  <c r="G12" i="9"/>
  <c r="G13" i="9"/>
  <c r="B5" i="9"/>
  <c r="C4" i="9"/>
  <c r="C9" i="9"/>
  <c r="C12" i="9"/>
  <c r="D6" i="9"/>
  <c r="F3" i="9"/>
  <c r="F6" i="9"/>
  <c r="H2" i="9"/>
  <c r="H3" i="9"/>
  <c r="H4" i="9"/>
  <c r="H5" i="9"/>
  <c r="H6" i="9"/>
  <c r="H7" i="9"/>
  <c r="H8" i="9"/>
  <c r="H9" i="9"/>
  <c r="H10" i="9"/>
  <c r="H11" i="9"/>
  <c r="H12" i="9"/>
  <c r="H13" i="9"/>
  <c r="B4" i="9"/>
  <c r="C5" i="9"/>
  <c r="C2" i="9"/>
  <c r="D8" i="9"/>
  <c r="D13" i="9"/>
  <c r="F5" i="9"/>
  <c r="F7" i="9"/>
  <c r="I2" i="9"/>
  <c r="I3" i="9"/>
  <c r="I4" i="9"/>
  <c r="I5" i="9"/>
  <c r="I6" i="9"/>
  <c r="I7" i="9"/>
  <c r="I8" i="9"/>
  <c r="I9" i="9"/>
  <c r="I10" i="9"/>
  <c r="I11" i="9"/>
  <c r="I12" i="9"/>
  <c r="G2" i="9"/>
  <c r="B8" i="9"/>
  <c r="B9" i="9"/>
  <c r="B10" i="9"/>
  <c r="B11" i="9"/>
  <c r="B12" i="9"/>
  <c r="H11" i="1"/>
  <c r="M18" i="1" l="1"/>
  <c r="M19" i="1"/>
  <c r="I18" i="1"/>
  <c r="M20" i="1" l="1"/>
  <c r="I19" i="1"/>
  <c r="I20" i="1" s="1"/>
</calcChain>
</file>

<file path=xl/sharedStrings.xml><?xml version="1.0" encoding="utf-8"?>
<sst xmlns="http://schemas.openxmlformats.org/spreadsheetml/2006/main" count="172" uniqueCount="96">
  <si>
    <t>EUR</t>
  </si>
  <si>
    <t>Technology</t>
  </si>
  <si>
    <t>Biogas</t>
  </si>
  <si>
    <t>Geothermal</t>
  </si>
  <si>
    <t>Waste</t>
  </si>
  <si>
    <t>Solar</t>
  </si>
  <si>
    <t>Wind</t>
  </si>
  <si>
    <t>Hydro</t>
  </si>
  <si>
    <t>Side</t>
  </si>
  <si>
    <t>Buy</t>
  </si>
  <si>
    <t>Sell</t>
  </si>
  <si>
    <t>Hungary</t>
  </si>
  <si>
    <t>Biomass</t>
  </si>
  <si>
    <t>Landfill gas</t>
  </si>
  <si>
    <t>Installed capacity</t>
  </si>
  <si>
    <t>Month</t>
  </si>
  <si>
    <t>Yearly</t>
  </si>
  <si>
    <t>Monthly</t>
  </si>
  <si>
    <t>MWh</t>
  </si>
  <si>
    <t>EUR/MWh</t>
  </si>
  <si>
    <t>EUR/quarter</t>
  </si>
  <si>
    <t>Price</t>
  </si>
  <si>
    <t>Price suggestion</t>
  </si>
  <si>
    <t>Production month</t>
  </si>
  <si>
    <t>Yearly GO quantity</t>
  </si>
  <si>
    <t>Yearly GO value</t>
  </si>
  <si>
    <t>HUPX GO Fee Schedule</t>
  </si>
  <si>
    <t>Instruction</t>
  </si>
  <si>
    <t>Choosable field</t>
  </si>
  <si>
    <t>Outside of Hungary</t>
  </si>
  <si>
    <t>Calculation per Auction</t>
  </si>
  <si>
    <t>Auction quantity</t>
  </si>
  <si>
    <t>Auction value</t>
  </si>
  <si>
    <t>Value with fees included</t>
  </si>
  <si>
    <t>3. Insert Price, based on price suggestions of recent HU, HR and FR GO auctions.</t>
  </si>
  <si>
    <t>2. Insert production or capacity data based on selection.</t>
  </si>
  <si>
    <t>Calculation per calendar year</t>
  </si>
  <si>
    <t>1. Select Side, Country, Technology and Production month.</t>
  </si>
  <si>
    <t>Estimations from Jul-2022.</t>
  </si>
  <si>
    <t>Source</t>
  </si>
  <si>
    <t xml:space="preserve"> </t>
  </si>
  <si>
    <t>From/to</t>
  </si>
  <si>
    <t>Disclaimer: HUPX GO calculator Excel sheet is solely for information purposes, which contains analyst opinions and does not necessarily represent the official views of HUPX. The present Excel sheet does not count as financial advice.</t>
  </si>
  <si>
    <t>Installed capacity / Planned installed capacity based on capacity forecast of MAVIR (MW)</t>
  </si>
  <si>
    <t>Issued GOs / Planned issuance based on production forecast of MAVIR (MWh)</t>
  </si>
  <si>
    <t>SUM</t>
  </si>
  <si>
    <t>HUF/MWh</t>
  </si>
  <si>
    <t>EUR/HUF</t>
  </si>
  <si>
    <t>MEKH GO Fee Schedule</t>
  </si>
  <si>
    <t>HUF/year</t>
  </si>
  <si>
    <t>Account management fee</t>
  </si>
  <si>
    <t>Fee for issuance of GO</t>
  </si>
  <si>
    <t>EUR/year</t>
  </si>
  <si>
    <t>non-AIB price</t>
  </si>
  <si>
    <t>HUPX GO AIB index</t>
  </si>
  <si>
    <t>https://hupx.hu/hu/go-piac/piaci-adatok</t>
  </si>
  <si>
    <t>Account management fee (1)</t>
  </si>
  <si>
    <t>Fee for issuance of GO (2)</t>
  </si>
  <si>
    <t>Membership fee (3)</t>
  </si>
  <si>
    <t>Transaction fee (4)</t>
  </si>
  <si>
    <t>Export fee (5)</t>
  </si>
  <si>
    <t>Import fee (6)</t>
  </si>
  <si>
    <t>Transaction fees (4+5+6)</t>
  </si>
  <si>
    <t>Yearly fees (1+2+3+4+5+6)</t>
  </si>
  <si>
    <t>GO price (EUR/MWh)</t>
  </si>
  <si>
    <t>Yearly GO quantity (MWh)</t>
  </si>
  <si>
    <t>Profit (EUR/year)</t>
  </si>
  <si>
    <t>Revenue (EUR/year)</t>
  </si>
  <si>
    <t>Costs (EUR/year)</t>
  </si>
  <si>
    <t>Capacity factor</t>
  </si>
  <si>
    <t>Minimum profit</t>
  </si>
  <si>
    <t>Profitability range</t>
  </si>
  <si>
    <t xml:space="preserve">  Recent prices</t>
  </si>
  <si>
    <t>Total fees</t>
  </si>
  <si>
    <t>MEKH fee for issuance</t>
  </si>
  <si>
    <t>MEKH yearly registry account fee</t>
  </si>
  <si>
    <t>HUPX GO transaction fee</t>
  </si>
  <si>
    <t>HUPX GO yearly membership fee</t>
  </si>
  <si>
    <t>Sales revenue</t>
  </si>
  <si>
    <t>Country</t>
  </si>
  <si>
    <t>Calculation per Year</t>
  </si>
  <si>
    <t>Revenue based on prices 3 years ago</t>
  </si>
  <si>
    <t>HUPX GO membeship fee</t>
  </si>
  <si>
    <t>MEKH fee for issuance of GOs</t>
  </si>
  <si>
    <t>Sum of fees</t>
  </si>
  <si>
    <t>MEKH account management fee</t>
  </si>
  <si>
    <t>Revenue based on prices in Oct-22</t>
  </si>
  <si>
    <t>Revenue based on prices in Nov-22</t>
  </si>
  <si>
    <t>Árbevétel 3 évvel ezelőtti árak alapján</t>
  </si>
  <si>
    <t>Árbevétel októberi aukció alapján</t>
  </si>
  <si>
    <t>Árbevétel novemberi aukció alapján</t>
  </si>
  <si>
    <t>HUPX GO tagsági díj</t>
  </si>
  <si>
    <t>HUPX GO tranzakciós díj</t>
  </si>
  <si>
    <t>MEKH számlavezetési díj</t>
  </si>
  <si>
    <t>MEKH bejegyzési díj</t>
  </si>
  <si>
    <t>Díjak összesen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</si>
</sst>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09]mmm\-yyyy"/>
    <numFmt numFmtId="165" formatCode="[$-409]mmm\-yy"/>
    <numFmt numFmtId="166" formatCode="0.000"/>
    <numFmt numFmtId="167" formatCode="0.0"/>
    <numFmt numFmtId="168" formatCode="_-* #,##0_-;\-* #,##0_-;_-* &quot;-&quot;??_-;_-@_-"/>
  </numFmts>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u/>
      <sz val="11"/>
      <color theme="10"/>
      <name val="Calibri"/>
      <family val="2"/>
      <charset val="238"/>
      <scheme val="minor"/>
    </font>
    <font>
      <i/>
      <sz val="11"/>
      <color theme="1"/>
      <name val="Calibri"/>
      <family val="2"/>
      <charset val="238"/>
      <scheme val="minor"/>
    </font>
    <font>
      <u/>
      <sz val="11"/>
      <color theme="10"/>
      <name val="Calibri"/>
      <family val="2"/>
      <scheme val="minor"/>
    </font>
    <font>
      <sz val="10"/>
      <name val="Arial"/>
      <family val="2"/>
      <charset val="238"/>
    </font>
    <font>
      <b/>
      <sz val="10"/>
      <color rgb="FFFFFFFF"/>
      <name val="Arial"/>
      <family val="2"/>
      <charset val="238"/>
    </font>
    <font>
      <i/>
      <sz val="9"/>
      <color theme="1"/>
      <name val="Calibri"/>
      <family val="2"/>
      <charset val="238"/>
      <scheme val="minor"/>
    </font>
  </fonts>
  <fills count="5">
    <fill>
      <patternFill patternType="none"/>
    </fill>
    <fill>
      <patternFill patternType="gray125"/>
    </fill>
    <fill>
      <patternFill patternType="solid">
        <fgColor rgb="FF4A8E1E"/>
        <bgColor rgb="FF6F97A3"/>
      </patternFill>
    </fill>
    <fill>
      <patternFill patternType="solid">
        <fgColor theme="0" tint="-0.14999847407452621"/>
        <bgColor indexed="64"/>
      </patternFill>
    </fill>
    <fill>
      <patternFill patternType="solid">
        <fgColor rgb="FF0091AE"/>
        <bgColor rgb="FF6F97A3"/>
      </patternFill>
    </fill>
  </fills>
  <borders count="19">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8">
    <xf numFmtId="0" fontId="0" fillId="0" borderId="0"/>
    <xf numFmtId="0" fontId="1" fillId="0" borderId="0"/>
    <xf numFmtId="0" fontId="3" fillId="0" borderId="0"/>
    <xf numFmtId="0" fontId="4" fillId="0" borderId="0" applyNumberFormat="0" applyFill="0" applyBorder="0" applyAlignment="0" applyProtection="0"/>
    <xf numFmtId="0" fontId="1" fillId="0" borderId="0"/>
    <xf numFmtId="0" fontId="6" fillId="0" borderId="0" applyNumberFormat="0" applyFill="0" applyBorder="0" applyAlignment="0" applyProtection="0"/>
    <xf numFmtId="0" fontId="7" fillId="0" borderId="0"/>
    <xf numFmtId="43" fontId="1" fillId="0" borderId="0" applyFont="0" applyFill="0" applyBorder="0" applyAlignment="0" applyProtection="0"/>
  </cellStyleXfs>
  <cellXfs count="62">
    <xf numFmtId="0" fontId="0" fillId="0" borderId="0" xfId="0"/>
    <xf numFmtId="0" fontId="0" fillId="0" borderId="2" xfId="0" applyBorder="1" applyAlignment="1">
      <alignment horizontal="center"/>
    </xf>
    <xf numFmtId="0" fontId="0" fillId="0" borderId="3" xfId="0" applyBorder="1" applyAlignment="1">
      <alignment horizontal="center"/>
    </xf>
    <xf numFmtId="14" fontId="0" fillId="0" borderId="0" xfId="0" applyNumberFormat="1"/>
    <xf numFmtId="0" fontId="2" fillId="0" borderId="0" xfId="4" applyFont="1"/>
    <xf numFmtId="0" fontId="3" fillId="0" borderId="0" xfId="2"/>
    <xf numFmtId="0" fontId="5" fillId="0" borderId="0" xfId="2" applyFont="1"/>
    <xf numFmtId="164" fontId="1" fillId="0" borderId="0" xfId="4" applyNumberFormat="1"/>
    <xf numFmtId="3" fontId="1" fillId="0" borderId="0" xfId="4" applyNumberFormat="1"/>
    <xf numFmtId="0" fontId="2" fillId="0" borderId="0" xfId="0" applyFont="1"/>
    <xf numFmtId="4" fontId="3" fillId="0" borderId="0" xfId="2" applyNumberFormat="1"/>
    <xf numFmtId="4" fontId="1" fillId="0" borderId="0" xfId="4" applyNumberFormat="1"/>
    <xf numFmtId="1" fontId="1" fillId="0" borderId="0" xfId="4" applyNumberFormat="1"/>
    <xf numFmtId="1" fontId="0" fillId="0" borderId="0" xfId="0" applyNumberFormat="1"/>
    <xf numFmtId="0" fontId="0" fillId="0" borderId="6" xfId="0" applyBorder="1" applyAlignment="1">
      <alignment horizontal="center"/>
    </xf>
    <xf numFmtId="4" fontId="0" fillId="0" borderId="4" xfId="0" applyNumberFormat="1" applyBorder="1" applyAlignment="1">
      <alignment horizontal="center"/>
    </xf>
    <xf numFmtId="3" fontId="0" fillId="0" borderId="4" xfId="0" applyNumberFormat="1" applyBorder="1" applyAlignment="1">
      <alignment horizontal="center"/>
    </xf>
    <xf numFmtId="0" fontId="0" fillId="0" borderId="4" xfId="0" applyBorder="1"/>
    <xf numFmtId="0" fontId="0" fillId="3" borderId="0" xfId="0" applyFill="1"/>
    <xf numFmtId="0" fontId="0" fillId="0" borderId="10" xfId="0" applyBorder="1" applyAlignment="1">
      <alignment horizontal="left"/>
    </xf>
    <xf numFmtId="0" fontId="0" fillId="0" borderId="11" xfId="0" applyBorder="1" applyAlignment="1">
      <alignment horizontal="left"/>
    </xf>
    <xf numFmtId="4" fontId="0" fillId="0" borderId="12" xfId="0" applyNumberFormat="1" applyBorder="1" applyAlignment="1">
      <alignment horizontal="center"/>
    </xf>
    <xf numFmtId="0" fontId="0" fillId="0" borderId="13" xfId="0" applyBorder="1" applyAlignment="1">
      <alignment horizontal="left"/>
    </xf>
    <xf numFmtId="0" fontId="0" fillId="0" borderId="10" xfId="0" applyBorder="1"/>
    <xf numFmtId="0" fontId="0" fillId="0" borderId="2" xfId="0" applyBorder="1"/>
    <xf numFmtId="0" fontId="0" fillId="0" borderId="11" xfId="0" applyBorder="1"/>
    <xf numFmtId="0" fontId="0" fillId="0" borderId="12" xfId="0" applyBorder="1"/>
    <xf numFmtId="0" fontId="0" fillId="0" borderId="3" xfId="0" applyBorder="1"/>
    <xf numFmtId="0" fontId="0" fillId="0" borderId="0" xfId="0" applyAlignment="1">
      <alignment wrapText="1"/>
    </xf>
    <xf numFmtId="0" fontId="4" fillId="0" borderId="0" xfId="3"/>
    <xf numFmtId="0" fontId="9" fillId="0" borderId="0" xfId="0" applyFont="1"/>
    <xf numFmtId="0" fontId="0" fillId="3" borderId="5" xfId="0" applyFill="1" applyBorder="1" applyAlignment="1" applyProtection="1">
      <alignment horizontal="center"/>
      <protection locked="0"/>
    </xf>
    <xf numFmtId="0" fontId="0" fillId="3" borderId="4" xfId="0" applyFill="1" applyBorder="1" applyAlignment="1" applyProtection="1">
      <alignment horizontal="center"/>
      <protection locked="0"/>
    </xf>
    <xf numFmtId="165" fontId="0" fillId="3" borderId="4" xfId="0" applyNumberFormat="1" applyFill="1" applyBorder="1" applyAlignment="1" applyProtection="1">
      <alignment horizontal="center"/>
      <protection locked="0"/>
    </xf>
    <xf numFmtId="4" fontId="0" fillId="3" borderId="4" xfId="0" applyNumberFormat="1" applyFill="1" applyBorder="1" applyAlignment="1" applyProtection="1">
      <alignment horizontal="center"/>
      <protection locked="0"/>
    </xf>
    <xf numFmtId="2" fontId="0" fillId="3" borderId="4" xfId="0" applyNumberFormat="1" applyFill="1" applyBorder="1" applyAlignment="1" applyProtection="1">
      <alignment horizontal="center"/>
      <protection locked="0"/>
    </xf>
    <xf numFmtId="0" fontId="0" fillId="3" borderId="10" xfId="0" applyFill="1" applyBorder="1" applyAlignment="1" applyProtection="1">
      <alignment horizontal="left"/>
      <protection locked="0"/>
    </xf>
    <xf numFmtId="3" fontId="0" fillId="0" borderId="4" xfId="0" applyNumberFormat="1" applyBorder="1"/>
    <xf numFmtId="166" fontId="0" fillId="0" borderId="12" xfId="0" applyNumberFormat="1" applyBorder="1"/>
    <xf numFmtId="167" fontId="0" fillId="0" borderId="4" xfId="0" applyNumberFormat="1" applyBorder="1"/>
    <xf numFmtId="2" fontId="0" fillId="0" borderId="0" xfId="0" applyNumberFormat="1"/>
    <xf numFmtId="3" fontId="0" fillId="0" borderId="0" xfId="0" applyNumberFormat="1"/>
    <xf numFmtId="167" fontId="0" fillId="0" borderId="0" xfId="0" applyNumberFormat="1"/>
    <xf numFmtId="0" fontId="0" fillId="0" borderId="16" xfId="0" applyBorder="1" applyAlignment="1">
      <alignment horizontal="center"/>
    </xf>
    <xf numFmtId="4" fontId="0" fillId="0" borderId="17" xfId="0" applyNumberFormat="1" applyBorder="1" applyAlignment="1">
      <alignment horizontal="center"/>
    </xf>
    <xf numFmtId="0" fontId="0" fillId="0" borderId="18" xfId="0" applyBorder="1" applyAlignment="1">
      <alignment horizontal="left"/>
    </xf>
    <xf numFmtId="168" fontId="0" fillId="0" borderId="0" xfId="7" applyNumberFormat="1" applyFont="1"/>
    <xf numFmtId="2" fontId="0" fillId="0" borderId="4" xfId="0" applyNumberFormat="1" applyBorder="1" applyAlignment="1" applyProtection="1">
      <alignment horizontal="center"/>
      <protection locked="0"/>
    </xf>
    <xf numFmtId="4" fontId="0" fillId="0" borderId="4" xfId="0" applyNumberFormat="1" applyBorder="1" applyAlignment="1" applyProtection="1">
      <alignment horizontal="center"/>
      <protection locked="0"/>
    </xf>
    <xf numFmtId="0" fontId="0" fillId="0" borderId="10" xfId="0" applyBorder="1" applyAlignment="1" applyProtection="1">
      <alignment horizontal="left"/>
      <protection locked="0"/>
    </xf>
    <xf numFmtId="0" fontId="0" fillId="0" borderId="4" xfId="0" applyBorder="1" applyAlignment="1" applyProtection="1">
      <alignment horizontal="center"/>
      <protection locked="0"/>
    </xf>
    <xf numFmtId="0" fontId="8" fillId="2" borderId="7" xfId="0" applyFont="1" applyFill="1" applyBorder="1" applyAlignment="1">
      <alignment horizontal="center" vertical="center" wrapText="1" readingOrder="1"/>
    </xf>
    <xf numFmtId="0" fontId="8" fillId="2" borderId="8" xfId="0" applyFont="1" applyFill="1" applyBorder="1" applyAlignment="1">
      <alignment horizontal="center" vertical="center" wrapText="1" readingOrder="1"/>
    </xf>
    <xf numFmtId="0" fontId="8" fillId="2" borderId="9" xfId="0" applyFont="1" applyFill="1" applyBorder="1" applyAlignment="1">
      <alignment horizontal="center" vertical="center" wrapText="1" readingOrder="1"/>
    </xf>
    <xf numFmtId="0" fontId="8" fillId="2" borderId="14" xfId="0" applyFont="1" applyFill="1" applyBorder="1" applyAlignment="1">
      <alignment horizontal="center" vertical="center" wrapText="1" readingOrder="1"/>
    </xf>
    <xf numFmtId="0" fontId="8" fillId="2" borderId="15" xfId="0" applyFont="1" applyFill="1" applyBorder="1" applyAlignment="1">
      <alignment horizontal="center" vertical="center" wrapText="1" readingOrder="1"/>
    </xf>
    <xf numFmtId="0" fontId="8" fillId="2" borderId="1" xfId="0" applyFont="1" applyFill="1" applyBorder="1" applyAlignment="1">
      <alignment horizontal="center" vertical="center" wrapText="1" readingOrder="1"/>
    </xf>
    <xf numFmtId="0" fontId="8" fillId="4" borderId="7" xfId="0" applyFont="1" applyFill="1" applyBorder="1" applyAlignment="1">
      <alignment horizontal="center" vertical="center" wrapText="1" readingOrder="1"/>
    </xf>
    <xf numFmtId="0" fontId="8" fillId="4" borderId="8" xfId="0" applyFont="1" applyFill="1" applyBorder="1" applyAlignment="1">
      <alignment horizontal="center" vertical="center" wrapText="1" readingOrder="1"/>
    </xf>
    <xf numFmtId="0" fontId="8" fillId="4" borderId="9" xfId="0" applyFont="1" applyFill="1" applyBorder="1" applyAlignment="1">
      <alignment horizontal="center" vertical="center" wrapText="1" readingOrder="1"/>
    </xf>
    <xf numFmtId="0" fontId="2" fillId="0" borderId="0" xfId="2" applyFont="1" applyAlignment="1">
      <alignment horizontal="center"/>
    </xf>
    <xf numFmtId="0" fontId="2" fillId="0" borderId="0" xfId="4" applyFont="1" applyAlignment="1">
      <alignment horizontal="center"/>
    </xf>
  </cellXfs>
  <cellStyles count="8">
    <cellStyle name="Comma" xfId="7" builtinId="3"/>
    <cellStyle name="Hyperlink" xfId="3" builtinId="8"/>
    <cellStyle name="Hyperlink 2" xfId="5" xr:uid="{952E6575-090C-49DD-ADBB-F4A92389F69D}"/>
    <cellStyle name="Normal" xfId="0" builtinId="0"/>
    <cellStyle name="Normal 2" xfId="2" xr:uid="{25789BF3-DAA0-4278-997D-87F10D0E9182}"/>
    <cellStyle name="Normal 2 2" xfId="4" xr:uid="{82AAB18E-826F-4A97-BD25-5386E061AD43}"/>
    <cellStyle name="Normal 3" xfId="6" xr:uid="{86409FA7-A5CA-4BC0-A9B6-58578FA31FF6}"/>
    <cellStyle name="Normal 4" xfId="1" xr:uid="{7689A4B1-4D10-484A-9786-13CC939A4AAE}"/>
  </cellStyles>
  <dxfs count="0"/>
  <tableStyles count="0" defaultTableStyle="TableStyleMedium2" defaultPivotStyle="PivotStyleLight16"/>
  <colors>
    <mruColors>
      <color rgb="FF0091AE"/>
      <color rgb="FF00AFAE"/>
      <color rgb="FF4A8E1E"/>
      <color rgb="FF00A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sz="1200" b="1"/>
              <a:t>GO kereskedésből</a:t>
            </a:r>
            <a:r>
              <a:rPr lang="hu-HU" sz="1200" b="1" baseline="0"/>
              <a:t> származó á</a:t>
            </a:r>
            <a:r>
              <a:rPr lang="hu-HU" sz="1200" b="1"/>
              <a:t>rbevétel</a:t>
            </a:r>
            <a:r>
              <a:rPr lang="hu-HU" sz="1200" b="1" baseline="0"/>
              <a:t> és felmerülő költségek éves bontásban (EUR)</a:t>
            </a:r>
            <a:endParaRPr lang="en-US" sz="1200" b="1"/>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rgbClr val="C00000"/>
            </a:solidFill>
            <a:ln>
              <a:noFill/>
            </a:ln>
            <a:effectLst/>
          </c:spPr>
          <c:invertIfNegative val="0"/>
          <c:dPt>
            <c:idx val="0"/>
            <c:invertIfNegative val="0"/>
            <c:bubble3D val="0"/>
            <c:spPr>
              <a:solidFill>
                <a:srgbClr val="00AFAE"/>
              </a:solidFill>
              <a:ln>
                <a:noFill/>
              </a:ln>
              <a:effectLst/>
            </c:spPr>
            <c:extLst>
              <c:ext xmlns:c16="http://schemas.microsoft.com/office/drawing/2014/chart" uri="{C3380CC4-5D6E-409C-BE32-E72D297353CC}">
                <c16:uniqueId val="{00000001-F478-4952-8670-08EF216E7821}"/>
              </c:ext>
            </c:extLst>
          </c:dPt>
          <c:dPt>
            <c:idx val="1"/>
            <c:invertIfNegative val="0"/>
            <c:bubble3D val="0"/>
            <c:spPr>
              <a:solidFill>
                <a:srgbClr val="00AFAE"/>
              </a:solidFill>
              <a:ln>
                <a:noFill/>
              </a:ln>
              <a:effectLst/>
            </c:spPr>
            <c:extLst>
              <c:ext xmlns:c16="http://schemas.microsoft.com/office/drawing/2014/chart" uri="{C3380CC4-5D6E-409C-BE32-E72D297353CC}">
                <c16:uniqueId val="{00000003-F478-4952-8670-08EF216E7821}"/>
              </c:ext>
            </c:extLst>
          </c:dPt>
          <c:dPt>
            <c:idx val="2"/>
            <c:invertIfNegative val="0"/>
            <c:bubble3D val="0"/>
            <c:spPr>
              <a:solidFill>
                <a:srgbClr val="4A8E1E"/>
              </a:solidFill>
              <a:ln>
                <a:noFill/>
              </a:ln>
              <a:effectLst/>
            </c:spPr>
            <c:extLst>
              <c:ext xmlns:c16="http://schemas.microsoft.com/office/drawing/2014/chart" uri="{C3380CC4-5D6E-409C-BE32-E72D297353CC}">
                <c16:uniqueId val="{00000005-F478-4952-8670-08EF216E7821}"/>
              </c:ext>
            </c:extLst>
          </c:dPt>
          <c:dLbls>
            <c:dLbl>
              <c:idx val="0"/>
              <c:layout>
                <c:manualLayout>
                  <c:x val="-1.3199016080151339E-17"/>
                  <c:y val="6.532870370370370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8-4952-8670-08EF216E7821}"/>
                </c:ext>
              </c:extLst>
            </c:dLbl>
            <c:dLbl>
              <c:idx val="1"/>
              <c:layout>
                <c:manualLayout>
                  <c:x val="0"/>
                  <c:y val="5.50694444444439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78-4952-8670-08EF216E7821}"/>
                </c:ext>
              </c:extLst>
            </c:dLbl>
            <c:dLbl>
              <c:idx val="2"/>
              <c:layout>
                <c:manualLayout>
                  <c:x val="0"/>
                  <c:y val="7.87777777777776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78-4952-8670-08EF216E7821}"/>
                </c:ext>
              </c:extLst>
            </c:dLbl>
            <c:dLbl>
              <c:idx val="3"/>
              <c:layout>
                <c:manualLayout>
                  <c:x val="0"/>
                  <c:y val="6.15460136649020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478-4952-8670-08EF216E7821}"/>
                </c:ext>
              </c:extLst>
            </c:dLbl>
            <c:dLbl>
              <c:idx val="4"/>
              <c:layout>
                <c:manualLayout>
                  <c:x val="0"/>
                  <c:y val="5.47398172007424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78-4952-8670-08EF216E7821}"/>
                </c:ext>
              </c:extLst>
            </c:dLbl>
            <c:dLbl>
              <c:idx val="5"/>
              <c:layout>
                <c:manualLayout>
                  <c:x val="-1.1272699324410674E-16"/>
                  <c:y val="5.96650783855510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78-4952-8670-08EF216E7821}"/>
                </c:ext>
              </c:extLst>
            </c:dLbl>
            <c:dLbl>
              <c:idx val="6"/>
              <c:layout>
                <c:manualLayout>
                  <c:x val="-1.1272699324410674E-16"/>
                  <c:y val="5.92071890314664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78-4952-8670-08EF216E7821}"/>
                </c:ext>
              </c:extLst>
            </c:dLbl>
            <c:dLbl>
              <c:idx val="7"/>
              <c:layout>
                <c:manualLayout>
                  <c:x val="-1.1272699324410674E-16"/>
                  <c:y val="8.52664164533784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478-4952-8670-08EF216E7821}"/>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HUN!$B$12:$B$19</c:f>
              <c:strCache>
                <c:ptCount val="8"/>
                <c:pt idx="0">
                  <c:v>Árbevétel 3 évvel ezelőtti árak alapján</c:v>
                </c:pt>
                <c:pt idx="1">
                  <c:v>Árbevétel októberi aukció alapján</c:v>
                </c:pt>
                <c:pt idx="2">
                  <c:v>Árbevétel novemberi aukció alapján</c:v>
                </c:pt>
                <c:pt idx="3">
                  <c:v>HUPX GO tagsági díj</c:v>
                </c:pt>
                <c:pt idx="4">
                  <c:v>HUPX GO tranzakciós díj</c:v>
                </c:pt>
                <c:pt idx="5">
                  <c:v>MEKH számlavezetési díj</c:v>
                </c:pt>
                <c:pt idx="6">
                  <c:v>MEKH bejegyzési díj</c:v>
                </c:pt>
                <c:pt idx="7">
                  <c:v>Díjak összesen</c:v>
                </c:pt>
              </c:strCache>
            </c:strRef>
          </c:cat>
          <c:val>
            <c:numRef>
              <c:f>HUN!$C$12:$C$19</c:f>
              <c:numCache>
                <c:formatCode>_-* #\ ##0_-;\-* #\ ##0_-;_-* "-"??_-;_-@_-</c:formatCode>
                <c:ptCount val="8"/>
                <c:pt idx="0">
                  <c:v>11255.2</c:v>
                </c:pt>
                <c:pt idx="1">
                  <c:v>73721.56</c:v>
                </c:pt>
                <c:pt idx="2">
                  <c:v>114803.04000000001</c:v>
                </c:pt>
                <c:pt idx="3">
                  <c:v>-1000</c:v>
                </c:pt>
                <c:pt idx="4">
                  <c:v>-422.07</c:v>
                </c:pt>
                <c:pt idx="5">
                  <c:v>-250</c:v>
                </c:pt>
                <c:pt idx="6">
                  <c:v>-175.86250000000001</c:v>
                </c:pt>
                <c:pt idx="7">
                  <c:v>-1847.9324999999999</c:v>
                </c:pt>
              </c:numCache>
            </c:numRef>
          </c:val>
          <c:extLst>
            <c:ext xmlns:c16="http://schemas.microsoft.com/office/drawing/2014/chart" uri="{C3380CC4-5D6E-409C-BE32-E72D297353CC}">
              <c16:uniqueId val="{0000000B-F478-4952-8670-08EF216E7821}"/>
            </c:ext>
          </c:extLst>
        </c:ser>
        <c:dLbls>
          <c:showLegendKey val="0"/>
          <c:showVal val="0"/>
          <c:showCatName val="0"/>
          <c:showSerName val="0"/>
          <c:showPercent val="0"/>
          <c:showBubbleSize val="0"/>
        </c:dLbls>
        <c:gapWidth val="219"/>
        <c:overlap val="-27"/>
        <c:axId val="1860948608"/>
        <c:axId val="1860949024"/>
      </c:barChart>
      <c:catAx>
        <c:axId val="186094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60949024"/>
        <c:crosses val="autoZero"/>
        <c:auto val="1"/>
        <c:lblAlgn val="ctr"/>
        <c:lblOffset val="100"/>
        <c:noMultiLvlLbl val="0"/>
      </c:catAx>
      <c:valAx>
        <c:axId val="1860949024"/>
        <c:scaling>
          <c:orientation val="minMax"/>
          <c:max val="120000"/>
          <c:min val="-10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60948608"/>
        <c:crosses val="autoZero"/>
        <c:crossBetween val="between"/>
        <c:majorUnit val="1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sz="1200" b="1" i="0" baseline="0">
                <a:effectLst/>
              </a:rPr>
              <a:t>Jövedelmezőségi tartomány árak és beépített teljesítmény alapján - GO kereskedés HUPX-en</a:t>
            </a:r>
            <a:endParaRPr lang="en-US" sz="1100">
              <a:effectLst/>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5520833333333323E-2"/>
          <c:y val="8.3489957264957282E-2"/>
          <c:w val="0.9175902777777778"/>
          <c:h val="0.74008568376068362"/>
        </c:manualLayout>
      </c:layout>
      <c:areaChart>
        <c:grouping val="stacked"/>
        <c:varyColors val="0"/>
        <c:ser>
          <c:idx val="1"/>
          <c:order val="0"/>
          <c:tx>
            <c:strRef>
              <c:f>'Profitability range'!$B$1</c:f>
              <c:strCache>
                <c:ptCount val="1"/>
              </c:strCache>
            </c:strRef>
          </c:tx>
          <c:spPr>
            <a:noFill/>
            <a:ln>
              <a:noFill/>
            </a:ln>
            <a:effectLst/>
          </c:spPr>
          <c:cat>
            <c:numRef>
              <c:f>'Profitability range'!$A$2:$A$21</c:f>
              <c:numCache>
                <c:formatCode>General</c:formatCode>
                <c:ptCount val="20"/>
                <c:pt idx="0">
                  <c:v>0.1</c:v>
                </c:pt>
                <c:pt idx="1">
                  <c:v>0.2</c:v>
                </c:pt>
                <c:pt idx="2">
                  <c:v>0.3</c:v>
                </c:pt>
                <c:pt idx="3">
                  <c:v>0.4</c:v>
                </c:pt>
                <c:pt idx="4">
                  <c:v>0.5</c:v>
                </c:pt>
                <c:pt idx="5">
                  <c:v>0.6</c:v>
                </c:pt>
                <c:pt idx="6">
                  <c:v>0.7</c:v>
                </c:pt>
                <c:pt idx="7">
                  <c:v>0.8</c:v>
                </c:pt>
                <c:pt idx="8">
                  <c:v>0.9</c:v>
                </c:pt>
                <c:pt idx="9">
                  <c:v>1</c:v>
                </c:pt>
                <c:pt idx="10">
                  <c:v>1.1000000000000001</c:v>
                </c:pt>
                <c:pt idx="11">
                  <c:v>1.2</c:v>
                </c:pt>
                <c:pt idx="12">
                  <c:v>1.3</c:v>
                </c:pt>
                <c:pt idx="13">
                  <c:v>1.4</c:v>
                </c:pt>
                <c:pt idx="14">
                  <c:v>1.5</c:v>
                </c:pt>
                <c:pt idx="15">
                  <c:v>1.6</c:v>
                </c:pt>
                <c:pt idx="16">
                  <c:v>1.7</c:v>
                </c:pt>
                <c:pt idx="17">
                  <c:v>1.8</c:v>
                </c:pt>
                <c:pt idx="18">
                  <c:v>1.9</c:v>
                </c:pt>
                <c:pt idx="19">
                  <c:v>2</c:v>
                </c:pt>
              </c:numCache>
            </c:numRef>
          </c:cat>
          <c:val>
            <c:numRef>
              <c:f>'Profitability range'!$B$2:$B$21</c:f>
              <c:numCache>
                <c:formatCode>General</c:formatCode>
                <c:ptCount val="20"/>
                <c:pt idx="0">
                  <c:v>16.020273114331257</c:v>
                </c:pt>
                <c:pt idx="1">
                  <c:v>7.9888865571656291</c:v>
                </c:pt>
                <c:pt idx="2">
                  <c:v>5.3117577047770856</c:v>
                </c:pt>
                <c:pt idx="3">
                  <c:v>3.9731932785828143</c:v>
                </c:pt>
                <c:pt idx="4">
                  <c:v>3.1700546228662514</c:v>
                </c:pt>
                <c:pt idx="5">
                  <c:v>2.6346288523885431</c:v>
                </c:pt>
                <c:pt idx="6">
                  <c:v>2.252181873475894</c:v>
                </c:pt>
                <c:pt idx="7">
                  <c:v>1.9653466392914072</c:v>
                </c:pt>
                <c:pt idx="8">
                  <c:v>1.7422525682590286</c:v>
                </c:pt>
                <c:pt idx="9">
                  <c:v>1.5637773114331257</c:v>
                </c:pt>
                <c:pt idx="10">
                  <c:v>1.4177521013028413</c:v>
                </c:pt>
                <c:pt idx="11">
                  <c:v>1.2960644261942715</c:v>
                </c:pt>
                <c:pt idx="12">
                  <c:v>1.193097931871635</c:v>
                </c:pt>
                <c:pt idx="13">
                  <c:v>1.104840936737947</c:v>
                </c:pt>
                <c:pt idx="14">
                  <c:v>1.0283515409554171</c:v>
                </c:pt>
                <c:pt idx="15">
                  <c:v>0.9614233196457036</c:v>
                </c:pt>
                <c:pt idx="16">
                  <c:v>0.90236900672536813</c:v>
                </c:pt>
                <c:pt idx="17">
                  <c:v>0.84987628412951433</c:v>
                </c:pt>
                <c:pt idx="18">
                  <c:v>0.80290911128059261</c:v>
                </c:pt>
                <c:pt idx="19">
                  <c:v>0.76063865571656286</c:v>
                </c:pt>
              </c:numCache>
            </c:numRef>
          </c:val>
          <c:extLst>
            <c:ext xmlns:c16="http://schemas.microsoft.com/office/drawing/2014/chart" uri="{C3380CC4-5D6E-409C-BE32-E72D297353CC}">
              <c16:uniqueId val="{00000000-C64F-4AA0-97A7-A07690F03A4E}"/>
            </c:ext>
          </c:extLst>
        </c:ser>
        <c:ser>
          <c:idx val="0"/>
          <c:order val="1"/>
          <c:tx>
            <c:v> Profitabilitási tartomány</c:v>
          </c:tx>
          <c:spPr>
            <a:solidFill>
              <a:srgbClr val="00AFAE"/>
            </a:solidFill>
            <a:ln w="25400">
              <a:noFill/>
            </a:ln>
            <a:effectLst/>
          </c:spPr>
          <c:cat>
            <c:numRef>
              <c:f>'Profitability range'!$A$2:$A$21</c:f>
              <c:numCache>
                <c:formatCode>General</c:formatCode>
                <c:ptCount val="20"/>
                <c:pt idx="0">
                  <c:v>0.1</c:v>
                </c:pt>
                <c:pt idx="1">
                  <c:v>0.2</c:v>
                </c:pt>
                <c:pt idx="2">
                  <c:v>0.3</c:v>
                </c:pt>
                <c:pt idx="3">
                  <c:v>0.4</c:v>
                </c:pt>
                <c:pt idx="4">
                  <c:v>0.5</c:v>
                </c:pt>
                <c:pt idx="5">
                  <c:v>0.6</c:v>
                </c:pt>
                <c:pt idx="6">
                  <c:v>0.7</c:v>
                </c:pt>
                <c:pt idx="7">
                  <c:v>0.8</c:v>
                </c:pt>
                <c:pt idx="8">
                  <c:v>0.9</c:v>
                </c:pt>
                <c:pt idx="9">
                  <c:v>1</c:v>
                </c:pt>
                <c:pt idx="10">
                  <c:v>1.1000000000000001</c:v>
                </c:pt>
                <c:pt idx="11">
                  <c:v>1.2</c:v>
                </c:pt>
                <c:pt idx="12">
                  <c:v>1.3</c:v>
                </c:pt>
                <c:pt idx="13">
                  <c:v>1.4</c:v>
                </c:pt>
                <c:pt idx="14">
                  <c:v>1.5</c:v>
                </c:pt>
                <c:pt idx="15">
                  <c:v>1.6</c:v>
                </c:pt>
                <c:pt idx="16">
                  <c:v>1.7</c:v>
                </c:pt>
                <c:pt idx="17">
                  <c:v>1.8</c:v>
                </c:pt>
                <c:pt idx="18">
                  <c:v>1.9</c:v>
                </c:pt>
                <c:pt idx="19">
                  <c:v>2</c:v>
                </c:pt>
              </c:numCache>
            </c:numRef>
          </c:cat>
          <c:val>
            <c:numRef>
              <c:f>'Profitability range'!$C$2:$C$21</c:f>
              <c:numCache>
                <c:formatCode>0.00</c:formatCode>
                <c:ptCount val="20"/>
                <c:pt idx="0">
                  <c:v>17.020273114331257</c:v>
                </c:pt>
                <c:pt idx="1">
                  <c:v>17.020273114331257</c:v>
                </c:pt>
                <c:pt idx="2">
                  <c:v>17.020273114331257</c:v>
                </c:pt>
                <c:pt idx="3">
                  <c:v>17.020273114331257</c:v>
                </c:pt>
                <c:pt idx="4">
                  <c:v>17.020273114331257</c:v>
                </c:pt>
                <c:pt idx="5">
                  <c:v>17.020273114331257</c:v>
                </c:pt>
                <c:pt idx="6">
                  <c:v>17.020273114331257</c:v>
                </c:pt>
                <c:pt idx="7">
                  <c:v>17.020273114331257</c:v>
                </c:pt>
                <c:pt idx="8">
                  <c:v>17.020273114331257</c:v>
                </c:pt>
                <c:pt idx="9">
                  <c:v>17.020273114331257</c:v>
                </c:pt>
                <c:pt idx="10">
                  <c:v>17.020273114331257</c:v>
                </c:pt>
                <c:pt idx="11">
                  <c:v>17.020273114331257</c:v>
                </c:pt>
                <c:pt idx="12">
                  <c:v>17.020273114331257</c:v>
                </c:pt>
                <c:pt idx="13">
                  <c:v>17.020273114331257</c:v>
                </c:pt>
                <c:pt idx="14">
                  <c:v>17.020273114331257</c:v>
                </c:pt>
                <c:pt idx="15">
                  <c:v>17.020273114331257</c:v>
                </c:pt>
                <c:pt idx="16">
                  <c:v>17.020273114331257</c:v>
                </c:pt>
                <c:pt idx="17">
                  <c:v>17.020273114331257</c:v>
                </c:pt>
                <c:pt idx="18">
                  <c:v>17.020273114331257</c:v>
                </c:pt>
                <c:pt idx="19">
                  <c:v>17.020273114331257</c:v>
                </c:pt>
              </c:numCache>
            </c:numRef>
          </c:val>
          <c:extLst>
            <c:ext xmlns:c16="http://schemas.microsoft.com/office/drawing/2014/chart" uri="{C3380CC4-5D6E-409C-BE32-E72D297353CC}">
              <c16:uniqueId val="{00000001-C64F-4AA0-97A7-A07690F03A4E}"/>
            </c:ext>
          </c:extLst>
        </c:ser>
        <c:dLbls>
          <c:showLegendKey val="0"/>
          <c:showVal val="0"/>
          <c:showCatName val="0"/>
          <c:showSerName val="0"/>
          <c:showPercent val="0"/>
          <c:showBubbleSize val="0"/>
        </c:dLbls>
        <c:axId val="1161976735"/>
        <c:axId val="420664751"/>
      </c:areaChart>
      <c:lineChart>
        <c:grouping val="standard"/>
        <c:varyColors val="0"/>
        <c:ser>
          <c:idx val="2"/>
          <c:order val="2"/>
          <c:tx>
            <c:strRef>
              <c:f>'Profitability range'!$D$1</c:f>
              <c:strCache>
                <c:ptCount val="1"/>
              </c:strCache>
            </c:strRef>
          </c:tx>
          <c:spPr>
            <a:ln w="76200" cap="rnd">
              <a:solidFill>
                <a:schemeClr val="bg1">
                  <a:lumMod val="50000"/>
                </a:schemeClr>
              </a:solidFill>
              <a:round/>
            </a:ln>
            <a:effectLst/>
          </c:spPr>
          <c:marker>
            <c:symbol val="none"/>
          </c:marker>
          <c:cat>
            <c:numRef>
              <c:f>'Profitability range'!$A$2:$A$21</c:f>
              <c:numCache>
                <c:formatCode>General</c:formatCode>
                <c:ptCount val="20"/>
                <c:pt idx="0">
                  <c:v>0.1</c:v>
                </c:pt>
                <c:pt idx="1">
                  <c:v>0.2</c:v>
                </c:pt>
                <c:pt idx="2">
                  <c:v>0.3</c:v>
                </c:pt>
                <c:pt idx="3">
                  <c:v>0.4</c:v>
                </c:pt>
                <c:pt idx="4">
                  <c:v>0.5</c:v>
                </c:pt>
                <c:pt idx="5">
                  <c:v>0.6</c:v>
                </c:pt>
                <c:pt idx="6">
                  <c:v>0.7</c:v>
                </c:pt>
                <c:pt idx="7">
                  <c:v>0.8</c:v>
                </c:pt>
                <c:pt idx="8">
                  <c:v>0.9</c:v>
                </c:pt>
                <c:pt idx="9">
                  <c:v>1</c:v>
                </c:pt>
                <c:pt idx="10">
                  <c:v>1.1000000000000001</c:v>
                </c:pt>
                <c:pt idx="11">
                  <c:v>1.2</c:v>
                </c:pt>
                <c:pt idx="12">
                  <c:v>1.3</c:v>
                </c:pt>
                <c:pt idx="13">
                  <c:v>1.4</c:v>
                </c:pt>
                <c:pt idx="14">
                  <c:v>1.5</c:v>
                </c:pt>
                <c:pt idx="15">
                  <c:v>1.6</c:v>
                </c:pt>
                <c:pt idx="16">
                  <c:v>1.7</c:v>
                </c:pt>
                <c:pt idx="17">
                  <c:v>1.8</c:v>
                </c:pt>
                <c:pt idx="18">
                  <c:v>1.9</c:v>
                </c:pt>
                <c:pt idx="19">
                  <c:v>2</c:v>
                </c:pt>
              </c:numCache>
            </c:numRef>
          </c:cat>
          <c:val>
            <c:numRef>
              <c:f>'Profitability range'!$D$2:$D$21</c:f>
              <c:numCache>
                <c:formatCode>0.00</c:formatCode>
                <c:ptCount val="20"/>
                <c:pt idx="0">
                  <c:v>6.35</c:v>
                </c:pt>
                <c:pt idx="1">
                  <c:v>6.35</c:v>
                </c:pt>
                <c:pt idx="2">
                  <c:v>6.35</c:v>
                </c:pt>
                <c:pt idx="3">
                  <c:v>6.35</c:v>
                </c:pt>
                <c:pt idx="4">
                  <c:v>6.35</c:v>
                </c:pt>
                <c:pt idx="5">
                  <c:v>6.35</c:v>
                </c:pt>
                <c:pt idx="6">
                  <c:v>6.35</c:v>
                </c:pt>
                <c:pt idx="7">
                  <c:v>6.35</c:v>
                </c:pt>
                <c:pt idx="8">
                  <c:v>6.35</c:v>
                </c:pt>
                <c:pt idx="9">
                  <c:v>6.35</c:v>
                </c:pt>
                <c:pt idx="10">
                  <c:v>6.35</c:v>
                </c:pt>
                <c:pt idx="11">
                  <c:v>6.35</c:v>
                </c:pt>
                <c:pt idx="12">
                  <c:v>6.35</c:v>
                </c:pt>
                <c:pt idx="13">
                  <c:v>6.35</c:v>
                </c:pt>
                <c:pt idx="14">
                  <c:v>6.35</c:v>
                </c:pt>
                <c:pt idx="15">
                  <c:v>6.35</c:v>
                </c:pt>
                <c:pt idx="16">
                  <c:v>6.35</c:v>
                </c:pt>
                <c:pt idx="17">
                  <c:v>6.35</c:v>
                </c:pt>
                <c:pt idx="18">
                  <c:v>6.35</c:v>
                </c:pt>
                <c:pt idx="19">
                  <c:v>6.35</c:v>
                </c:pt>
              </c:numCache>
            </c:numRef>
          </c:val>
          <c:smooth val="0"/>
          <c:extLst>
            <c:ext xmlns:c16="http://schemas.microsoft.com/office/drawing/2014/chart" uri="{C3380CC4-5D6E-409C-BE32-E72D297353CC}">
              <c16:uniqueId val="{00000002-C64F-4AA0-97A7-A07690F03A4E}"/>
            </c:ext>
          </c:extLst>
        </c:ser>
        <c:ser>
          <c:idx val="3"/>
          <c:order val="3"/>
          <c:tx>
            <c:strRef>
              <c:f>'Profitability range'!$E$1</c:f>
              <c:strCache>
                <c:ptCount val="1"/>
              </c:strCache>
            </c:strRef>
          </c:tx>
          <c:spPr>
            <a:ln w="76200" cap="rnd">
              <a:solidFill>
                <a:schemeClr val="bg1">
                  <a:lumMod val="65000"/>
                </a:schemeClr>
              </a:solidFill>
              <a:round/>
            </a:ln>
            <a:effectLst/>
          </c:spPr>
          <c:marker>
            <c:symbol val="none"/>
          </c:marker>
          <c:val>
            <c:numRef>
              <c:f>'Profitability range'!$E$2:$E$21</c:f>
              <c:numCache>
                <c:formatCode>0.00</c:formatCode>
                <c:ptCount val="20"/>
                <c:pt idx="0">
                  <c:v>8.16</c:v>
                </c:pt>
                <c:pt idx="1">
                  <c:v>8.16</c:v>
                </c:pt>
                <c:pt idx="2">
                  <c:v>8.16</c:v>
                </c:pt>
                <c:pt idx="3">
                  <c:v>8.16</c:v>
                </c:pt>
                <c:pt idx="4">
                  <c:v>8.16</c:v>
                </c:pt>
                <c:pt idx="5">
                  <c:v>8.16</c:v>
                </c:pt>
                <c:pt idx="6">
                  <c:v>8.16</c:v>
                </c:pt>
                <c:pt idx="7">
                  <c:v>8.16</c:v>
                </c:pt>
                <c:pt idx="8">
                  <c:v>8.16</c:v>
                </c:pt>
                <c:pt idx="9">
                  <c:v>8.16</c:v>
                </c:pt>
                <c:pt idx="10">
                  <c:v>8.16</c:v>
                </c:pt>
                <c:pt idx="11">
                  <c:v>8.16</c:v>
                </c:pt>
                <c:pt idx="12">
                  <c:v>8.16</c:v>
                </c:pt>
                <c:pt idx="13">
                  <c:v>8.16</c:v>
                </c:pt>
                <c:pt idx="14">
                  <c:v>8.16</c:v>
                </c:pt>
                <c:pt idx="15">
                  <c:v>8.16</c:v>
                </c:pt>
                <c:pt idx="16">
                  <c:v>8.16</c:v>
                </c:pt>
                <c:pt idx="17">
                  <c:v>8.16</c:v>
                </c:pt>
                <c:pt idx="18">
                  <c:v>8.16</c:v>
                </c:pt>
                <c:pt idx="19">
                  <c:v>8.16</c:v>
                </c:pt>
              </c:numCache>
            </c:numRef>
          </c:val>
          <c:smooth val="0"/>
          <c:extLst>
            <c:ext xmlns:c16="http://schemas.microsoft.com/office/drawing/2014/chart" uri="{C3380CC4-5D6E-409C-BE32-E72D297353CC}">
              <c16:uniqueId val="{00000003-C64F-4AA0-97A7-A07690F03A4E}"/>
            </c:ext>
          </c:extLst>
        </c:ser>
        <c:ser>
          <c:idx val="4"/>
          <c:order val="4"/>
          <c:tx>
            <c:v>  Legutóbbi árak</c:v>
          </c:tx>
          <c:spPr>
            <a:ln w="76200" cap="rnd">
              <a:solidFill>
                <a:schemeClr val="bg1">
                  <a:lumMod val="75000"/>
                </a:schemeClr>
              </a:solidFill>
              <a:round/>
            </a:ln>
            <a:effectLst/>
          </c:spPr>
          <c:marker>
            <c:symbol val="none"/>
          </c:marker>
          <c:val>
            <c:numRef>
              <c:f>'Profitability range'!$F$2:$F$21</c:f>
              <c:numCache>
                <c:formatCode>0.00</c:formatCode>
                <c:ptCount val="20"/>
                <c:pt idx="0">
                  <c:v>5.24</c:v>
                </c:pt>
                <c:pt idx="1">
                  <c:v>5.24</c:v>
                </c:pt>
                <c:pt idx="2">
                  <c:v>5.24</c:v>
                </c:pt>
                <c:pt idx="3">
                  <c:v>5.24</c:v>
                </c:pt>
                <c:pt idx="4">
                  <c:v>5.24</c:v>
                </c:pt>
                <c:pt idx="5">
                  <c:v>5.24</c:v>
                </c:pt>
                <c:pt idx="6">
                  <c:v>5.24</c:v>
                </c:pt>
                <c:pt idx="7">
                  <c:v>5.24</c:v>
                </c:pt>
                <c:pt idx="8">
                  <c:v>5.24</c:v>
                </c:pt>
                <c:pt idx="9">
                  <c:v>5.24</c:v>
                </c:pt>
                <c:pt idx="10">
                  <c:v>5.24</c:v>
                </c:pt>
                <c:pt idx="11">
                  <c:v>5.24</c:v>
                </c:pt>
                <c:pt idx="12">
                  <c:v>5.24</c:v>
                </c:pt>
                <c:pt idx="13">
                  <c:v>5.24</c:v>
                </c:pt>
                <c:pt idx="14">
                  <c:v>5.24</c:v>
                </c:pt>
                <c:pt idx="15">
                  <c:v>5.24</c:v>
                </c:pt>
                <c:pt idx="16">
                  <c:v>5.24</c:v>
                </c:pt>
                <c:pt idx="17">
                  <c:v>5.24</c:v>
                </c:pt>
                <c:pt idx="18">
                  <c:v>5.24</c:v>
                </c:pt>
                <c:pt idx="19">
                  <c:v>5.24</c:v>
                </c:pt>
              </c:numCache>
            </c:numRef>
          </c:val>
          <c:smooth val="0"/>
          <c:extLst>
            <c:ext xmlns:c16="http://schemas.microsoft.com/office/drawing/2014/chart" uri="{C3380CC4-5D6E-409C-BE32-E72D297353CC}">
              <c16:uniqueId val="{00000004-C64F-4AA0-97A7-A07690F03A4E}"/>
            </c:ext>
          </c:extLst>
        </c:ser>
        <c:dLbls>
          <c:showLegendKey val="0"/>
          <c:showVal val="0"/>
          <c:showCatName val="0"/>
          <c:showSerName val="0"/>
          <c:showPercent val="0"/>
          <c:showBubbleSize val="0"/>
        </c:dLbls>
        <c:marker val="1"/>
        <c:smooth val="0"/>
        <c:axId val="1161976735"/>
        <c:axId val="420664751"/>
      </c:lineChart>
      <c:catAx>
        <c:axId val="1161976735"/>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a:t>Tulajdonolt beépített naperőműv</a:t>
                </a:r>
                <a:r>
                  <a:rPr lang="hu-HU" baseline="0"/>
                  <a:t>i kapacitás Magyarországon (MW)</a:t>
                </a:r>
                <a:endParaRPr lang="en-US"/>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0664751"/>
        <c:crosses val="autoZero"/>
        <c:auto val="1"/>
        <c:lblAlgn val="ctr"/>
        <c:lblOffset val="100"/>
        <c:noMultiLvlLbl val="0"/>
      </c:catAx>
      <c:valAx>
        <c:axId val="420664751"/>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a:t>GO ár (EUR/MWh)</a:t>
                </a:r>
                <a:endParaRPr lang="en-US"/>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61976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sz="1200" b="1" i="0" baseline="0">
                <a:effectLst/>
              </a:rPr>
              <a:t>Profitability range based on prices and installed capacity - trading GOs on HUPX</a:t>
            </a:r>
            <a:endParaRPr lang="en-US" sz="1100">
              <a:effectLst/>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5520833333333323E-2"/>
          <c:y val="8.3489957264957282E-2"/>
          <c:w val="0.9175902777777778"/>
          <c:h val="0.74008568376068362"/>
        </c:manualLayout>
      </c:layout>
      <c:areaChart>
        <c:grouping val="stacked"/>
        <c:varyColors val="0"/>
        <c:ser>
          <c:idx val="1"/>
          <c:order val="0"/>
          <c:tx>
            <c:strRef>
              <c:f>'Profitability range'!$B$1</c:f>
              <c:strCache>
                <c:ptCount val="1"/>
              </c:strCache>
            </c:strRef>
          </c:tx>
          <c:spPr>
            <a:noFill/>
            <a:ln>
              <a:noFill/>
            </a:ln>
            <a:effectLst/>
          </c:spPr>
          <c:cat>
            <c:numRef>
              <c:f>'Profitability range'!$A$2:$A$21</c:f>
              <c:numCache>
                <c:formatCode>General</c:formatCode>
                <c:ptCount val="20"/>
                <c:pt idx="0">
                  <c:v>0.1</c:v>
                </c:pt>
                <c:pt idx="1">
                  <c:v>0.2</c:v>
                </c:pt>
                <c:pt idx="2">
                  <c:v>0.3</c:v>
                </c:pt>
                <c:pt idx="3">
                  <c:v>0.4</c:v>
                </c:pt>
                <c:pt idx="4">
                  <c:v>0.5</c:v>
                </c:pt>
                <c:pt idx="5">
                  <c:v>0.6</c:v>
                </c:pt>
                <c:pt idx="6">
                  <c:v>0.7</c:v>
                </c:pt>
                <c:pt idx="7">
                  <c:v>0.8</c:v>
                </c:pt>
                <c:pt idx="8">
                  <c:v>0.9</c:v>
                </c:pt>
                <c:pt idx="9">
                  <c:v>1</c:v>
                </c:pt>
                <c:pt idx="10">
                  <c:v>1.1000000000000001</c:v>
                </c:pt>
                <c:pt idx="11">
                  <c:v>1.2</c:v>
                </c:pt>
                <c:pt idx="12">
                  <c:v>1.3</c:v>
                </c:pt>
                <c:pt idx="13">
                  <c:v>1.4</c:v>
                </c:pt>
                <c:pt idx="14">
                  <c:v>1.5</c:v>
                </c:pt>
                <c:pt idx="15">
                  <c:v>1.6</c:v>
                </c:pt>
                <c:pt idx="16">
                  <c:v>1.7</c:v>
                </c:pt>
                <c:pt idx="17">
                  <c:v>1.8</c:v>
                </c:pt>
                <c:pt idx="18">
                  <c:v>1.9</c:v>
                </c:pt>
                <c:pt idx="19">
                  <c:v>2</c:v>
                </c:pt>
              </c:numCache>
            </c:numRef>
          </c:cat>
          <c:val>
            <c:numRef>
              <c:f>'Profitability range'!$B$2:$B$21</c:f>
              <c:numCache>
                <c:formatCode>General</c:formatCode>
                <c:ptCount val="20"/>
                <c:pt idx="0">
                  <c:v>16.020273114331257</c:v>
                </c:pt>
                <c:pt idx="1">
                  <c:v>7.9888865571656291</c:v>
                </c:pt>
                <c:pt idx="2">
                  <c:v>5.3117577047770856</c:v>
                </c:pt>
                <c:pt idx="3">
                  <c:v>3.9731932785828143</c:v>
                </c:pt>
                <c:pt idx="4">
                  <c:v>3.1700546228662514</c:v>
                </c:pt>
                <c:pt idx="5">
                  <c:v>2.6346288523885431</c:v>
                </c:pt>
                <c:pt idx="6">
                  <c:v>2.252181873475894</c:v>
                </c:pt>
                <c:pt idx="7">
                  <c:v>1.9653466392914072</c:v>
                </c:pt>
                <c:pt idx="8">
                  <c:v>1.7422525682590286</c:v>
                </c:pt>
                <c:pt idx="9">
                  <c:v>1.5637773114331257</c:v>
                </c:pt>
                <c:pt idx="10">
                  <c:v>1.4177521013028413</c:v>
                </c:pt>
                <c:pt idx="11">
                  <c:v>1.2960644261942715</c:v>
                </c:pt>
                <c:pt idx="12">
                  <c:v>1.193097931871635</c:v>
                </c:pt>
                <c:pt idx="13">
                  <c:v>1.104840936737947</c:v>
                </c:pt>
                <c:pt idx="14">
                  <c:v>1.0283515409554171</c:v>
                </c:pt>
                <c:pt idx="15">
                  <c:v>0.9614233196457036</c:v>
                </c:pt>
                <c:pt idx="16">
                  <c:v>0.90236900672536813</c:v>
                </c:pt>
                <c:pt idx="17">
                  <c:v>0.84987628412951433</c:v>
                </c:pt>
                <c:pt idx="18">
                  <c:v>0.80290911128059261</c:v>
                </c:pt>
                <c:pt idx="19">
                  <c:v>0.76063865571656286</c:v>
                </c:pt>
              </c:numCache>
            </c:numRef>
          </c:val>
          <c:extLst>
            <c:ext xmlns:c16="http://schemas.microsoft.com/office/drawing/2014/chart" uri="{C3380CC4-5D6E-409C-BE32-E72D297353CC}">
              <c16:uniqueId val="{00000000-D402-43D8-8958-992D5BD98DB7}"/>
            </c:ext>
          </c:extLst>
        </c:ser>
        <c:ser>
          <c:idx val="0"/>
          <c:order val="1"/>
          <c:tx>
            <c:strRef>
              <c:f>'Profitability range'!$J$1</c:f>
              <c:strCache>
                <c:ptCount val="1"/>
                <c:pt idx="0">
                  <c:v>Profitability range</c:v>
                </c:pt>
              </c:strCache>
            </c:strRef>
          </c:tx>
          <c:spPr>
            <a:solidFill>
              <a:srgbClr val="00AFAE"/>
            </a:solidFill>
            <a:ln w="25400">
              <a:noFill/>
            </a:ln>
            <a:effectLst/>
          </c:spPr>
          <c:cat>
            <c:numRef>
              <c:f>'Profitability range'!$A$2:$A$21</c:f>
              <c:numCache>
                <c:formatCode>General</c:formatCode>
                <c:ptCount val="20"/>
                <c:pt idx="0">
                  <c:v>0.1</c:v>
                </c:pt>
                <c:pt idx="1">
                  <c:v>0.2</c:v>
                </c:pt>
                <c:pt idx="2">
                  <c:v>0.3</c:v>
                </c:pt>
                <c:pt idx="3">
                  <c:v>0.4</c:v>
                </c:pt>
                <c:pt idx="4">
                  <c:v>0.5</c:v>
                </c:pt>
                <c:pt idx="5">
                  <c:v>0.6</c:v>
                </c:pt>
                <c:pt idx="6">
                  <c:v>0.7</c:v>
                </c:pt>
                <c:pt idx="7">
                  <c:v>0.8</c:v>
                </c:pt>
                <c:pt idx="8">
                  <c:v>0.9</c:v>
                </c:pt>
                <c:pt idx="9">
                  <c:v>1</c:v>
                </c:pt>
                <c:pt idx="10">
                  <c:v>1.1000000000000001</c:v>
                </c:pt>
                <c:pt idx="11">
                  <c:v>1.2</c:v>
                </c:pt>
                <c:pt idx="12">
                  <c:v>1.3</c:v>
                </c:pt>
                <c:pt idx="13">
                  <c:v>1.4</c:v>
                </c:pt>
                <c:pt idx="14">
                  <c:v>1.5</c:v>
                </c:pt>
                <c:pt idx="15">
                  <c:v>1.6</c:v>
                </c:pt>
                <c:pt idx="16">
                  <c:v>1.7</c:v>
                </c:pt>
                <c:pt idx="17">
                  <c:v>1.8</c:v>
                </c:pt>
                <c:pt idx="18">
                  <c:v>1.9</c:v>
                </c:pt>
                <c:pt idx="19">
                  <c:v>2</c:v>
                </c:pt>
              </c:numCache>
            </c:numRef>
          </c:cat>
          <c:val>
            <c:numRef>
              <c:f>'Profitability range'!$C$2:$C$21</c:f>
              <c:numCache>
                <c:formatCode>0.00</c:formatCode>
                <c:ptCount val="20"/>
                <c:pt idx="0">
                  <c:v>17.020273114331257</c:v>
                </c:pt>
                <c:pt idx="1">
                  <c:v>17.020273114331257</c:v>
                </c:pt>
                <c:pt idx="2">
                  <c:v>17.020273114331257</c:v>
                </c:pt>
                <c:pt idx="3">
                  <c:v>17.020273114331257</c:v>
                </c:pt>
                <c:pt idx="4">
                  <c:v>17.020273114331257</c:v>
                </c:pt>
                <c:pt idx="5">
                  <c:v>17.020273114331257</c:v>
                </c:pt>
                <c:pt idx="6">
                  <c:v>17.020273114331257</c:v>
                </c:pt>
                <c:pt idx="7">
                  <c:v>17.020273114331257</c:v>
                </c:pt>
                <c:pt idx="8">
                  <c:v>17.020273114331257</c:v>
                </c:pt>
                <c:pt idx="9">
                  <c:v>17.020273114331257</c:v>
                </c:pt>
                <c:pt idx="10">
                  <c:v>17.020273114331257</c:v>
                </c:pt>
                <c:pt idx="11">
                  <c:v>17.020273114331257</c:v>
                </c:pt>
                <c:pt idx="12">
                  <c:v>17.020273114331257</c:v>
                </c:pt>
                <c:pt idx="13">
                  <c:v>17.020273114331257</c:v>
                </c:pt>
                <c:pt idx="14">
                  <c:v>17.020273114331257</c:v>
                </c:pt>
                <c:pt idx="15">
                  <c:v>17.020273114331257</c:v>
                </c:pt>
                <c:pt idx="16">
                  <c:v>17.020273114331257</c:v>
                </c:pt>
                <c:pt idx="17">
                  <c:v>17.020273114331257</c:v>
                </c:pt>
                <c:pt idx="18">
                  <c:v>17.020273114331257</c:v>
                </c:pt>
                <c:pt idx="19">
                  <c:v>17.020273114331257</c:v>
                </c:pt>
              </c:numCache>
            </c:numRef>
          </c:val>
          <c:extLst>
            <c:ext xmlns:c16="http://schemas.microsoft.com/office/drawing/2014/chart" uri="{C3380CC4-5D6E-409C-BE32-E72D297353CC}">
              <c16:uniqueId val="{00000001-D402-43D8-8958-992D5BD98DB7}"/>
            </c:ext>
          </c:extLst>
        </c:ser>
        <c:dLbls>
          <c:showLegendKey val="0"/>
          <c:showVal val="0"/>
          <c:showCatName val="0"/>
          <c:showSerName val="0"/>
          <c:showPercent val="0"/>
          <c:showBubbleSize val="0"/>
        </c:dLbls>
        <c:axId val="1161976735"/>
        <c:axId val="420664751"/>
      </c:areaChart>
      <c:lineChart>
        <c:grouping val="standard"/>
        <c:varyColors val="0"/>
        <c:ser>
          <c:idx val="2"/>
          <c:order val="2"/>
          <c:tx>
            <c:strRef>
              <c:f>'Profitability range'!$D$1</c:f>
              <c:strCache>
                <c:ptCount val="1"/>
              </c:strCache>
            </c:strRef>
          </c:tx>
          <c:spPr>
            <a:ln w="76200" cap="rnd">
              <a:solidFill>
                <a:schemeClr val="bg1">
                  <a:lumMod val="50000"/>
                </a:schemeClr>
              </a:solidFill>
              <a:round/>
            </a:ln>
            <a:effectLst/>
          </c:spPr>
          <c:marker>
            <c:symbol val="none"/>
          </c:marker>
          <c:cat>
            <c:numRef>
              <c:f>'Profitability range'!$A$2:$A$21</c:f>
              <c:numCache>
                <c:formatCode>General</c:formatCode>
                <c:ptCount val="20"/>
                <c:pt idx="0">
                  <c:v>0.1</c:v>
                </c:pt>
                <c:pt idx="1">
                  <c:v>0.2</c:v>
                </c:pt>
                <c:pt idx="2">
                  <c:v>0.3</c:v>
                </c:pt>
                <c:pt idx="3">
                  <c:v>0.4</c:v>
                </c:pt>
                <c:pt idx="4">
                  <c:v>0.5</c:v>
                </c:pt>
                <c:pt idx="5">
                  <c:v>0.6</c:v>
                </c:pt>
                <c:pt idx="6">
                  <c:v>0.7</c:v>
                </c:pt>
                <c:pt idx="7">
                  <c:v>0.8</c:v>
                </c:pt>
                <c:pt idx="8">
                  <c:v>0.9</c:v>
                </c:pt>
                <c:pt idx="9">
                  <c:v>1</c:v>
                </c:pt>
                <c:pt idx="10">
                  <c:v>1.1000000000000001</c:v>
                </c:pt>
                <c:pt idx="11">
                  <c:v>1.2</c:v>
                </c:pt>
                <c:pt idx="12">
                  <c:v>1.3</c:v>
                </c:pt>
                <c:pt idx="13">
                  <c:v>1.4</c:v>
                </c:pt>
                <c:pt idx="14">
                  <c:v>1.5</c:v>
                </c:pt>
                <c:pt idx="15">
                  <c:v>1.6</c:v>
                </c:pt>
                <c:pt idx="16">
                  <c:v>1.7</c:v>
                </c:pt>
                <c:pt idx="17">
                  <c:v>1.8</c:v>
                </c:pt>
                <c:pt idx="18">
                  <c:v>1.9</c:v>
                </c:pt>
                <c:pt idx="19">
                  <c:v>2</c:v>
                </c:pt>
              </c:numCache>
            </c:numRef>
          </c:cat>
          <c:val>
            <c:numRef>
              <c:f>'Profitability range'!$D$2:$D$21</c:f>
              <c:numCache>
                <c:formatCode>0.00</c:formatCode>
                <c:ptCount val="20"/>
                <c:pt idx="0">
                  <c:v>6.35</c:v>
                </c:pt>
                <c:pt idx="1">
                  <c:v>6.35</c:v>
                </c:pt>
                <c:pt idx="2">
                  <c:v>6.35</c:v>
                </c:pt>
                <c:pt idx="3">
                  <c:v>6.35</c:v>
                </c:pt>
                <c:pt idx="4">
                  <c:v>6.35</c:v>
                </c:pt>
                <c:pt idx="5">
                  <c:v>6.35</c:v>
                </c:pt>
                <c:pt idx="6">
                  <c:v>6.35</c:v>
                </c:pt>
                <c:pt idx="7">
                  <c:v>6.35</c:v>
                </c:pt>
                <c:pt idx="8">
                  <c:v>6.35</c:v>
                </c:pt>
                <c:pt idx="9">
                  <c:v>6.35</c:v>
                </c:pt>
                <c:pt idx="10">
                  <c:v>6.35</c:v>
                </c:pt>
                <c:pt idx="11">
                  <c:v>6.35</c:v>
                </c:pt>
                <c:pt idx="12">
                  <c:v>6.35</c:v>
                </c:pt>
                <c:pt idx="13">
                  <c:v>6.35</c:v>
                </c:pt>
                <c:pt idx="14">
                  <c:v>6.35</c:v>
                </c:pt>
                <c:pt idx="15">
                  <c:v>6.35</c:v>
                </c:pt>
                <c:pt idx="16">
                  <c:v>6.35</c:v>
                </c:pt>
                <c:pt idx="17">
                  <c:v>6.35</c:v>
                </c:pt>
                <c:pt idx="18">
                  <c:v>6.35</c:v>
                </c:pt>
                <c:pt idx="19">
                  <c:v>6.35</c:v>
                </c:pt>
              </c:numCache>
            </c:numRef>
          </c:val>
          <c:smooth val="0"/>
          <c:extLst>
            <c:ext xmlns:c16="http://schemas.microsoft.com/office/drawing/2014/chart" uri="{C3380CC4-5D6E-409C-BE32-E72D297353CC}">
              <c16:uniqueId val="{00000002-D402-43D8-8958-992D5BD98DB7}"/>
            </c:ext>
          </c:extLst>
        </c:ser>
        <c:ser>
          <c:idx val="3"/>
          <c:order val="3"/>
          <c:tx>
            <c:strRef>
              <c:f>'Profitability range'!$E$1</c:f>
              <c:strCache>
                <c:ptCount val="1"/>
              </c:strCache>
            </c:strRef>
          </c:tx>
          <c:spPr>
            <a:ln w="76200" cap="rnd">
              <a:solidFill>
                <a:schemeClr val="bg1">
                  <a:lumMod val="65000"/>
                </a:schemeClr>
              </a:solidFill>
              <a:round/>
            </a:ln>
            <a:effectLst/>
          </c:spPr>
          <c:marker>
            <c:symbol val="none"/>
          </c:marker>
          <c:val>
            <c:numRef>
              <c:f>'Profitability range'!$E$2:$E$21</c:f>
              <c:numCache>
                <c:formatCode>0.00</c:formatCode>
                <c:ptCount val="20"/>
                <c:pt idx="0">
                  <c:v>8.16</c:v>
                </c:pt>
                <c:pt idx="1">
                  <c:v>8.16</c:v>
                </c:pt>
                <c:pt idx="2">
                  <c:v>8.16</c:v>
                </c:pt>
                <c:pt idx="3">
                  <c:v>8.16</c:v>
                </c:pt>
                <c:pt idx="4">
                  <c:v>8.16</c:v>
                </c:pt>
                <c:pt idx="5">
                  <c:v>8.16</c:v>
                </c:pt>
                <c:pt idx="6">
                  <c:v>8.16</c:v>
                </c:pt>
                <c:pt idx="7">
                  <c:v>8.16</c:v>
                </c:pt>
                <c:pt idx="8">
                  <c:v>8.16</c:v>
                </c:pt>
                <c:pt idx="9">
                  <c:v>8.16</c:v>
                </c:pt>
                <c:pt idx="10">
                  <c:v>8.16</c:v>
                </c:pt>
                <c:pt idx="11">
                  <c:v>8.16</c:v>
                </c:pt>
                <c:pt idx="12">
                  <c:v>8.16</c:v>
                </c:pt>
                <c:pt idx="13">
                  <c:v>8.16</c:v>
                </c:pt>
                <c:pt idx="14">
                  <c:v>8.16</c:v>
                </c:pt>
                <c:pt idx="15">
                  <c:v>8.16</c:v>
                </c:pt>
                <c:pt idx="16">
                  <c:v>8.16</c:v>
                </c:pt>
                <c:pt idx="17">
                  <c:v>8.16</c:v>
                </c:pt>
                <c:pt idx="18">
                  <c:v>8.16</c:v>
                </c:pt>
                <c:pt idx="19">
                  <c:v>8.16</c:v>
                </c:pt>
              </c:numCache>
            </c:numRef>
          </c:val>
          <c:smooth val="0"/>
          <c:extLst>
            <c:ext xmlns:c16="http://schemas.microsoft.com/office/drawing/2014/chart" uri="{C3380CC4-5D6E-409C-BE32-E72D297353CC}">
              <c16:uniqueId val="{00000003-D402-43D8-8958-992D5BD98DB7}"/>
            </c:ext>
          </c:extLst>
        </c:ser>
        <c:ser>
          <c:idx val="4"/>
          <c:order val="4"/>
          <c:tx>
            <c:strRef>
              <c:f>'Profitability range'!$F$1</c:f>
              <c:strCache>
                <c:ptCount val="1"/>
                <c:pt idx="0">
                  <c:v>  Recent prices</c:v>
                </c:pt>
              </c:strCache>
            </c:strRef>
          </c:tx>
          <c:spPr>
            <a:ln w="76200" cap="rnd">
              <a:solidFill>
                <a:schemeClr val="bg1">
                  <a:lumMod val="75000"/>
                </a:schemeClr>
              </a:solidFill>
              <a:round/>
            </a:ln>
            <a:effectLst/>
          </c:spPr>
          <c:marker>
            <c:symbol val="none"/>
          </c:marker>
          <c:val>
            <c:numRef>
              <c:f>'Profitability range'!$F$2:$F$21</c:f>
              <c:numCache>
                <c:formatCode>0.00</c:formatCode>
                <c:ptCount val="20"/>
                <c:pt idx="0">
                  <c:v>5.24</c:v>
                </c:pt>
                <c:pt idx="1">
                  <c:v>5.24</c:v>
                </c:pt>
                <c:pt idx="2">
                  <c:v>5.24</c:v>
                </c:pt>
                <c:pt idx="3">
                  <c:v>5.24</c:v>
                </c:pt>
                <c:pt idx="4">
                  <c:v>5.24</c:v>
                </c:pt>
                <c:pt idx="5">
                  <c:v>5.24</c:v>
                </c:pt>
                <c:pt idx="6">
                  <c:v>5.24</c:v>
                </c:pt>
                <c:pt idx="7">
                  <c:v>5.24</c:v>
                </c:pt>
                <c:pt idx="8">
                  <c:v>5.24</c:v>
                </c:pt>
                <c:pt idx="9">
                  <c:v>5.24</c:v>
                </c:pt>
                <c:pt idx="10">
                  <c:v>5.24</c:v>
                </c:pt>
                <c:pt idx="11">
                  <c:v>5.24</c:v>
                </c:pt>
                <c:pt idx="12">
                  <c:v>5.24</c:v>
                </c:pt>
                <c:pt idx="13">
                  <c:v>5.24</c:v>
                </c:pt>
                <c:pt idx="14">
                  <c:v>5.24</c:v>
                </c:pt>
                <c:pt idx="15">
                  <c:v>5.24</c:v>
                </c:pt>
                <c:pt idx="16">
                  <c:v>5.24</c:v>
                </c:pt>
                <c:pt idx="17">
                  <c:v>5.24</c:v>
                </c:pt>
                <c:pt idx="18">
                  <c:v>5.24</c:v>
                </c:pt>
                <c:pt idx="19">
                  <c:v>5.24</c:v>
                </c:pt>
              </c:numCache>
            </c:numRef>
          </c:val>
          <c:smooth val="0"/>
          <c:extLst>
            <c:ext xmlns:c16="http://schemas.microsoft.com/office/drawing/2014/chart" uri="{C3380CC4-5D6E-409C-BE32-E72D297353CC}">
              <c16:uniqueId val="{00000004-D402-43D8-8958-992D5BD98DB7}"/>
            </c:ext>
          </c:extLst>
        </c:ser>
        <c:dLbls>
          <c:showLegendKey val="0"/>
          <c:showVal val="0"/>
          <c:showCatName val="0"/>
          <c:showSerName val="0"/>
          <c:showPercent val="0"/>
          <c:showBubbleSize val="0"/>
        </c:dLbls>
        <c:marker val="1"/>
        <c:smooth val="0"/>
        <c:axId val="1161976735"/>
        <c:axId val="420664751"/>
      </c:lineChart>
      <c:catAx>
        <c:axId val="1161976735"/>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a:t>Installed solar capacity in Hungary (MW)</a:t>
                </a:r>
                <a:endParaRPr lang="en-US"/>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0664751"/>
        <c:crosses val="autoZero"/>
        <c:auto val="1"/>
        <c:lblAlgn val="ctr"/>
        <c:lblOffset val="100"/>
        <c:noMultiLvlLbl val="0"/>
      </c:catAx>
      <c:valAx>
        <c:axId val="420664751"/>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a:t>GO price (EUR/MWh)</a:t>
                </a:r>
                <a:endParaRPr lang="en-US"/>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61976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sz="1200" b="1" i="0" baseline="0">
                <a:effectLst/>
              </a:rPr>
              <a:t>Profitability range based on prices and installed capacity - trading GOs on HUPX</a:t>
            </a:r>
            <a:endParaRPr lang="en-US" sz="1100">
              <a:effectLst/>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1455092592592596E-2"/>
          <c:y val="8.4918807995928922E-2"/>
          <c:w val="0.89716777777777779"/>
          <c:h val="0.74273034188034182"/>
        </c:manualLayout>
      </c:layout>
      <c:areaChart>
        <c:grouping val="stacked"/>
        <c:varyColors val="0"/>
        <c:ser>
          <c:idx val="0"/>
          <c:order val="0"/>
          <c:tx>
            <c:strRef>
              <c:f>'Profitability range'!$I$1</c:f>
              <c:strCache>
                <c:ptCount val="1"/>
              </c:strCache>
            </c:strRef>
          </c:tx>
          <c:spPr>
            <a:solidFill>
              <a:schemeClr val="accent1">
                <a:alpha val="0"/>
              </a:schemeClr>
            </a:solidFill>
            <a:ln>
              <a:noFill/>
            </a:ln>
            <a:effectLst/>
          </c:spPr>
          <c:cat>
            <c:numRef>
              <c:f>'Profitability range'!$H$2:$H$21</c:f>
              <c:numCache>
                <c:formatCode>0.0</c:formatCode>
                <c:ptCount val="20"/>
                <c:pt idx="0">
                  <c:v>0.5</c:v>
                </c:pt>
                <c:pt idx="1">
                  <c:v>1</c:v>
                </c:pt>
                <c:pt idx="2">
                  <c:v>1.5</c:v>
                </c:pt>
                <c:pt idx="3">
                  <c:v>2</c:v>
                </c:pt>
                <c:pt idx="4">
                  <c:v>2.5</c:v>
                </c:pt>
                <c:pt idx="5">
                  <c:v>3</c:v>
                </c:pt>
                <c:pt idx="6">
                  <c:v>3.5</c:v>
                </c:pt>
                <c:pt idx="7">
                  <c:v>4</c:v>
                </c:pt>
                <c:pt idx="8">
                  <c:v>4.5</c:v>
                </c:pt>
                <c:pt idx="9">
                  <c:v>5</c:v>
                </c:pt>
                <c:pt idx="10">
                  <c:v>5.5</c:v>
                </c:pt>
                <c:pt idx="11">
                  <c:v>6</c:v>
                </c:pt>
                <c:pt idx="12">
                  <c:v>6.5</c:v>
                </c:pt>
                <c:pt idx="13">
                  <c:v>7</c:v>
                </c:pt>
                <c:pt idx="14">
                  <c:v>7.5</c:v>
                </c:pt>
                <c:pt idx="15">
                  <c:v>8</c:v>
                </c:pt>
                <c:pt idx="16">
                  <c:v>8.5</c:v>
                </c:pt>
                <c:pt idx="17">
                  <c:v>9</c:v>
                </c:pt>
                <c:pt idx="18">
                  <c:v>9.5</c:v>
                </c:pt>
                <c:pt idx="19">
                  <c:v>10</c:v>
                </c:pt>
              </c:numCache>
            </c:numRef>
          </c:cat>
          <c:val>
            <c:numRef>
              <c:f>'Profitability range'!$I$2:$I$21</c:f>
              <c:numCache>
                <c:formatCode>0.00</c:formatCode>
                <c:ptCount val="20"/>
                <c:pt idx="0">
                  <c:v>3.5109886588702204</c:v>
                </c:pt>
                <c:pt idx="1">
                  <c:v>1.6775742155959537</c:v>
                </c:pt>
                <c:pt idx="2">
                  <c:v>1.1020770575870502</c:v>
                </c:pt>
                <c:pt idx="3">
                  <c:v>0.82057589345242699</c:v>
                </c:pt>
                <c:pt idx="4">
                  <c:v>0.65362250719557502</c:v>
                </c:pt>
                <c:pt idx="5">
                  <c:v>0.54311997005346602</c:v>
                </c:pt>
                <c:pt idx="6">
                  <c:v>0.46457767503488817</c:v>
                </c:pt>
                <c:pt idx="7">
                  <c:v>0.40588182221936214</c:v>
                </c:pt>
                <c:pt idx="8">
                  <c:v>0.36035385562156497</c:v>
                </c:pt>
                <c:pt idx="9">
                  <c:v>0.32400954340557253</c:v>
                </c:pt>
                <c:pt idx="10">
                  <c:v>0.29432474785765017</c:v>
                </c:pt>
                <c:pt idx="11">
                  <c:v>0.26962271278776767</c:v>
                </c:pt>
                <c:pt idx="12">
                  <c:v>0.24874600254481238</c:v>
                </c:pt>
                <c:pt idx="13">
                  <c:v>0.23086989743918446</c:v>
                </c:pt>
                <c:pt idx="14">
                  <c:v>0.215390856377221</c:v>
                </c:pt>
                <c:pt idx="15">
                  <c:v>0.20185702939781661</c:v>
                </c:pt>
                <c:pt idx="16">
                  <c:v>0.18992341843725991</c:v>
                </c:pt>
                <c:pt idx="17">
                  <c:v>0.17932205542094617</c:v>
                </c:pt>
                <c:pt idx="18">
                  <c:v>0.16984164011981237</c:v>
                </c:pt>
                <c:pt idx="19">
                  <c:v>0.1613133127223827</c:v>
                </c:pt>
              </c:numCache>
            </c:numRef>
          </c:val>
          <c:extLst>
            <c:ext xmlns:c16="http://schemas.microsoft.com/office/drawing/2014/chart" uri="{C3380CC4-5D6E-409C-BE32-E72D297353CC}">
              <c16:uniqueId val="{00000000-D19A-4E7D-BF3F-3E061680D116}"/>
            </c:ext>
          </c:extLst>
        </c:ser>
        <c:ser>
          <c:idx val="1"/>
          <c:order val="1"/>
          <c:tx>
            <c:strRef>
              <c:f>'Profitability range'!$J$1</c:f>
              <c:strCache>
                <c:ptCount val="1"/>
                <c:pt idx="0">
                  <c:v>Profitability range</c:v>
                </c:pt>
              </c:strCache>
            </c:strRef>
          </c:tx>
          <c:spPr>
            <a:solidFill>
              <a:srgbClr val="00AFAE"/>
            </a:solidFill>
            <a:ln>
              <a:noFill/>
            </a:ln>
            <a:effectLst/>
          </c:spPr>
          <c:cat>
            <c:numRef>
              <c:f>'Profitability range'!$H$2:$H$21</c:f>
              <c:numCache>
                <c:formatCode>0.0</c:formatCode>
                <c:ptCount val="20"/>
                <c:pt idx="0">
                  <c:v>0.5</c:v>
                </c:pt>
                <c:pt idx="1">
                  <c:v>1</c:v>
                </c:pt>
                <c:pt idx="2">
                  <c:v>1.5</c:v>
                </c:pt>
                <c:pt idx="3">
                  <c:v>2</c:v>
                </c:pt>
                <c:pt idx="4">
                  <c:v>2.5</c:v>
                </c:pt>
                <c:pt idx="5">
                  <c:v>3</c:v>
                </c:pt>
                <c:pt idx="6">
                  <c:v>3.5</c:v>
                </c:pt>
                <c:pt idx="7">
                  <c:v>4</c:v>
                </c:pt>
                <c:pt idx="8">
                  <c:v>4.5</c:v>
                </c:pt>
                <c:pt idx="9">
                  <c:v>5</c:v>
                </c:pt>
                <c:pt idx="10">
                  <c:v>5.5</c:v>
                </c:pt>
                <c:pt idx="11">
                  <c:v>6</c:v>
                </c:pt>
                <c:pt idx="12">
                  <c:v>6.5</c:v>
                </c:pt>
                <c:pt idx="13">
                  <c:v>7</c:v>
                </c:pt>
                <c:pt idx="14">
                  <c:v>7.5</c:v>
                </c:pt>
                <c:pt idx="15">
                  <c:v>8</c:v>
                </c:pt>
                <c:pt idx="16">
                  <c:v>8.5</c:v>
                </c:pt>
                <c:pt idx="17">
                  <c:v>9</c:v>
                </c:pt>
                <c:pt idx="18">
                  <c:v>9.5</c:v>
                </c:pt>
                <c:pt idx="19">
                  <c:v>10</c:v>
                </c:pt>
              </c:numCache>
            </c:numRef>
          </c:cat>
          <c:val>
            <c:numRef>
              <c:f>'Profitability range'!$J$2:$J$21</c:f>
              <c:numCache>
                <c:formatCode>0.00</c:formatCode>
                <c:ptCount val="20"/>
                <c:pt idx="0">
                  <c:v>4.5109886588702199</c:v>
                </c:pt>
                <c:pt idx="1">
                  <c:v>4.5109886588702199</c:v>
                </c:pt>
                <c:pt idx="2">
                  <c:v>4.5109886588702199</c:v>
                </c:pt>
                <c:pt idx="3">
                  <c:v>4.5109886588702199</c:v>
                </c:pt>
                <c:pt idx="4">
                  <c:v>4.5109886588702199</c:v>
                </c:pt>
                <c:pt idx="5">
                  <c:v>4.5109886588702199</c:v>
                </c:pt>
                <c:pt idx="6">
                  <c:v>4.5109886588702199</c:v>
                </c:pt>
                <c:pt idx="7">
                  <c:v>4.5109886588702199</c:v>
                </c:pt>
                <c:pt idx="8">
                  <c:v>4.5109886588702199</c:v>
                </c:pt>
                <c:pt idx="9">
                  <c:v>4.5109886588702199</c:v>
                </c:pt>
                <c:pt idx="10">
                  <c:v>4.5109886588702199</c:v>
                </c:pt>
                <c:pt idx="11">
                  <c:v>4.5109886588702199</c:v>
                </c:pt>
                <c:pt idx="12">
                  <c:v>4.5109886588702199</c:v>
                </c:pt>
                <c:pt idx="13">
                  <c:v>4.5109886588702199</c:v>
                </c:pt>
                <c:pt idx="14">
                  <c:v>4.5109886588702199</c:v>
                </c:pt>
                <c:pt idx="15">
                  <c:v>4.5109886588702199</c:v>
                </c:pt>
                <c:pt idx="16">
                  <c:v>4.5109886588702199</c:v>
                </c:pt>
                <c:pt idx="17">
                  <c:v>4.5109886588702199</c:v>
                </c:pt>
                <c:pt idx="18">
                  <c:v>4.5109886588702199</c:v>
                </c:pt>
                <c:pt idx="19">
                  <c:v>4.5109886588702199</c:v>
                </c:pt>
              </c:numCache>
            </c:numRef>
          </c:val>
          <c:extLst>
            <c:ext xmlns:c16="http://schemas.microsoft.com/office/drawing/2014/chart" uri="{C3380CC4-5D6E-409C-BE32-E72D297353CC}">
              <c16:uniqueId val="{00000001-D19A-4E7D-BF3F-3E061680D116}"/>
            </c:ext>
          </c:extLst>
        </c:ser>
        <c:dLbls>
          <c:showLegendKey val="0"/>
          <c:showVal val="0"/>
          <c:showCatName val="0"/>
          <c:showSerName val="0"/>
          <c:showPercent val="0"/>
          <c:showBubbleSize val="0"/>
        </c:dLbls>
        <c:axId val="404022687"/>
        <c:axId val="404015615"/>
      </c:areaChart>
      <c:scatterChart>
        <c:scatterStyle val="smoothMarker"/>
        <c:varyColors val="0"/>
        <c:ser>
          <c:idx val="2"/>
          <c:order val="2"/>
          <c:tx>
            <c:strRef>
              <c:f>'Profitability range'!$K$1</c:f>
              <c:strCache>
                <c:ptCount val="1"/>
              </c:strCache>
            </c:strRef>
          </c:tx>
          <c:spPr>
            <a:ln w="76200" cap="rnd">
              <a:solidFill>
                <a:schemeClr val="bg1">
                  <a:lumMod val="50000"/>
                </a:schemeClr>
              </a:solidFill>
              <a:round/>
            </a:ln>
            <a:effectLst/>
          </c:spPr>
          <c:marker>
            <c:symbol val="none"/>
          </c:marker>
          <c:xVal>
            <c:numRef>
              <c:f>'Profitability range'!$K$2:$K$22</c:f>
              <c:numCache>
                <c:formatCode>0.00</c:formatCode>
                <c:ptCount val="21"/>
                <c:pt idx="0">
                  <c:v>6.35</c:v>
                </c:pt>
                <c:pt idx="1">
                  <c:v>6.35</c:v>
                </c:pt>
                <c:pt idx="2">
                  <c:v>6.35</c:v>
                </c:pt>
                <c:pt idx="3">
                  <c:v>6.35</c:v>
                </c:pt>
                <c:pt idx="4">
                  <c:v>6.35</c:v>
                </c:pt>
                <c:pt idx="5">
                  <c:v>6.35</c:v>
                </c:pt>
                <c:pt idx="6">
                  <c:v>6.35</c:v>
                </c:pt>
                <c:pt idx="7">
                  <c:v>6.35</c:v>
                </c:pt>
                <c:pt idx="8">
                  <c:v>6.35</c:v>
                </c:pt>
                <c:pt idx="9">
                  <c:v>6.35</c:v>
                </c:pt>
                <c:pt idx="10">
                  <c:v>6.35</c:v>
                </c:pt>
                <c:pt idx="11">
                  <c:v>6.35</c:v>
                </c:pt>
                <c:pt idx="12">
                  <c:v>6.35</c:v>
                </c:pt>
                <c:pt idx="13">
                  <c:v>6.35</c:v>
                </c:pt>
                <c:pt idx="14">
                  <c:v>6.35</c:v>
                </c:pt>
                <c:pt idx="15">
                  <c:v>6.35</c:v>
                </c:pt>
                <c:pt idx="16">
                  <c:v>6.35</c:v>
                </c:pt>
                <c:pt idx="17">
                  <c:v>6.35</c:v>
                </c:pt>
                <c:pt idx="18">
                  <c:v>6.35</c:v>
                </c:pt>
                <c:pt idx="19">
                  <c:v>6.35</c:v>
                </c:pt>
                <c:pt idx="20">
                  <c:v>6.35</c:v>
                </c:pt>
              </c:numCache>
            </c:numRef>
          </c:xVal>
          <c:yVal>
            <c:numRef>
              <c:f>'Profitability range'!$I$2:$I$22</c:f>
              <c:numCache>
                <c:formatCode>0.00</c:formatCode>
                <c:ptCount val="21"/>
                <c:pt idx="0">
                  <c:v>3.5109886588702204</c:v>
                </c:pt>
                <c:pt idx="1">
                  <c:v>1.6775742155959537</c:v>
                </c:pt>
                <c:pt idx="2">
                  <c:v>1.1020770575870502</c:v>
                </c:pt>
                <c:pt idx="3">
                  <c:v>0.82057589345242699</c:v>
                </c:pt>
                <c:pt idx="4">
                  <c:v>0.65362250719557502</c:v>
                </c:pt>
                <c:pt idx="5">
                  <c:v>0.54311997005346602</c:v>
                </c:pt>
                <c:pt idx="6">
                  <c:v>0.46457767503488817</c:v>
                </c:pt>
                <c:pt idx="7">
                  <c:v>0.40588182221936214</c:v>
                </c:pt>
                <c:pt idx="8">
                  <c:v>0.36035385562156497</c:v>
                </c:pt>
                <c:pt idx="9">
                  <c:v>0.32400954340557253</c:v>
                </c:pt>
                <c:pt idx="10">
                  <c:v>0.29432474785765017</c:v>
                </c:pt>
                <c:pt idx="11">
                  <c:v>0.26962271278776767</c:v>
                </c:pt>
                <c:pt idx="12">
                  <c:v>0.24874600254481238</c:v>
                </c:pt>
                <c:pt idx="13">
                  <c:v>0.23086989743918446</c:v>
                </c:pt>
                <c:pt idx="14">
                  <c:v>0.215390856377221</c:v>
                </c:pt>
                <c:pt idx="15">
                  <c:v>0.20185702939781661</c:v>
                </c:pt>
                <c:pt idx="16">
                  <c:v>0.18992341843725991</c:v>
                </c:pt>
                <c:pt idx="17">
                  <c:v>0.17932205542094617</c:v>
                </c:pt>
                <c:pt idx="18">
                  <c:v>0.16984164011981237</c:v>
                </c:pt>
                <c:pt idx="19">
                  <c:v>0.1613133127223827</c:v>
                </c:pt>
                <c:pt idx="20">
                  <c:v>0</c:v>
                </c:pt>
              </c:numCache>
            </c:numRef>
          </c:yVal>
          <c:smooth val="1"/>
          <c:extLst>
            <c:ext xmlns:c16="http://schemas.microsoft.com/office/drawing/2014/chart" uri="{C3380CC4-5D6E-409C-BE32-E72D297353CC}">
              <c16:uniqueId val="{00000002-D19A-4E7D-BF3F-3E061680D116}"/>
            </c:ext>
          </c:extLst>
        </c:ser>
        <c:ser>
          <c:idx val="3"/>
          <c:order val="3"/>
          <c:tx>
            <c:strRef>
              <c:f>'Profitability range'!$L$1</c:f>
              <c:strCache>
                <c:ptCount val="1"/>
              </c:strCache>
            </c:strRef>
          </c:tx>
          <c:spPr>
            <a:ln w="76200" cap="rnd">
              <a:solidFill>
                <a:schemeClr val="bg1">
                  <a:lumMod val="65000"/>
                </a:schemeClr>
              </a:solidFill>
              <a:round/>
            </a:ln>
            <a:effectLst/>
          </c:spPr>
          <c:marker>
            <c:symbol val="none"/>
          </c:marker>
          <c:xVal>
            <c:numRef>
              <c:f>'Profitability range'!$L$2:$L$22</c:f>
              <c:numCache>
                <c:formatCode>0.00</c:formatCode>
                <c:ptCount val="21"/>
                <c:pt idx="0">
                  <c:v>8.16</c:v>
                </c:pt>
                <c:pt idx="1">
                  <c:v>8.16</c:v>
                </c:pt>
                <c:pt idx="2">
                  <c:v>8.16</c:v>
                </c:pt>
                <c:pt idx="3">
                  <c:v>8.16</c:v>
                </c:pt>
                <c:pt idx="4">
                  <c:v>8.16</c:v>
                </c:pt>
                <c:pt idx="5">
                  <c:v>8.16</c:v>
                </c:pt>
                <c:pt idx="6">
                  <c:v>8.16</c:v>
                </c:pt>
                <c:pt idx="7">
                  <c:v>8.16</c:v>
                </c:pt>
                <c:pt idx="8">
                  <c:v>8.16</c:v>
                </c:pt>
                <c:pt idx="9">
                  <c:v>8.16</c:v>
                </c:pt>
                <c:pt idx="10">
                  <c:v>8.16</c:v>
                </c:pt>
                <c:pt idx="11">
                  <c:v>8.16</c:v>
                </c:pt>
                <c:pt idx="12">
                  <c:v>8.16</c:v>
                </c:pt>
                <c:pt idx="13">
                  <c:v>8.16</c:v>
                </c:pt>
                <c:pt idx="14">
                  <c:v>8.16</c:v>
                </c:pt>
                <c:pt idx="15">
                  <c:v>8.16</c:v>
                </c:pt>
                <c:pt idx="16">
                  <c:v>8.16</c:v>
                </c:pt>
                <c:pt idx="17">
                  <c:v>8.16</c:v>
                </c:pt>
                <c:pt idx="18">
                  <c:v>8.16</c:v>
                </c:pt>
                <c:pt idx="19">
                  <c:v>8.16</c:v>
                </c:pt>
                <c:pt idx="20">
                  <c:v>8.16</c:v>
                </c:pt>
              </c:numCache>
            </c:numRef>
          </c:xVal>
          <c:yVal>
            <c:numRef>
              <c:f>'Profitability range'!$I$2:$I$22</c:f>
              <c:numCache>
                <c:formatCode>0.00</c:formatCode>
                <c:ptCount val="21"/>
                <c:pt idx="0">
                  <c:v>3.5109886588702204</c:v>
                </c:pt>
                <c:pt idx="1">
                  <c:v>1.6775742155959537</c:v>
                </c:pt>
                <c:pt idx="2">
                  <c:v>1.1020770575870502</c:v>
                </c:pt>
                <c:pt idx="3">
                  <c:v>0.82057589345242699</c:v>
                </c:pt>
                <c:pt idx="4">
                  <c:v>0.65362250719557502</c:v>
                </c:pt>
                <c:pt idx="5">
                  <c:v>0.54311997005346602</c:v>
                </c:pt>
                <c:pt idx="6">
                  <c:v>0.46457767503488817</c:v>
                </c:pt>
                <c:pt idx="7">
                  <c:v>0.40588182221936214</c:v>
                </c:pt>
                <c:pt idx="8">
                  <c:v>0.36035385562156497</c:v>
                </c:pt>
                <c:pt idx="9">
                  <c:v>0.32400954340557253</c:v>
                </c:pt>
                <c:pt idx="10">
                  <c:v>0.29432474785765017</c:v>
                </c:pt>
                <c:pt idx="11">
                  <c:v>0.26962271278776767</c:v>
                </c:pt>
                <c:pt idx="12">
                  <c:v>0.24874600254481238</c:v>
                </c:pt>
                <c:pt idx="13">
                  <c:v>0.23086989743918446</c:v>
                </c:pt>
                <c:pt idx="14">
                  <c:v>0.215390856377221</c:v>
                </c:pt>
                <c:pt idx="15">
                  <c:v>0.20185702939781661</c:v>
                </c:pt>
                <c:pt idx="16">
                  <c:v>0.18992341843725991</c:v>
                </c:pt>
                <c:pt idx="17">
                  <c:v>0.17932205542094617</c:v>
                </c:pt>
                <c:pt idx="18">
                  <c:v>0.16984164011981237</c:v>
                </c:pt>
                <c:pt idx="19">
                  <c:v>0.1613133127223827</c:v>
                </c:pt>
                <c:pt idx="20">
                  <c:v>0</c:v>
                </c:pt>
              </c:numCache>
            </c:numRef>
          </c:yVal>
          <c:smooth val="1"/>
          <c:extLst>
            <c:ext xmlns:c16="http://schemas.microsoft.com/office/drawing/2014/chart" uri="{C3380CC4-5D6E-409C-BE32-E72D297353CC}">
              <c16:uniqueId val="{00000003-D19A-4E7D-BF3F-3E061680D116}"/>
            </c:ext>
          </c:extLst>
        </c:ser>
        <c:ser>
          <c:idx val="4"/>
          <c:order val="4"/>
          <c:tx>
            <c:strRef>
              <c:f>'Profitability range'!$M$1</c:f>
              <c:strCache>
                <c:ptCount val="1"/>
                <c:pt idx="0">
                  <c:v>  Recent prices</c:v>
                </c:pt>
              </c:strCache>
            </c:strRef>
          </c:tx>
          <c:spPr>
            <a:ln w="76200" cap="rnd">
              <a:solidFill>
                <a:schemeClr val="bg1">
                  <a:lumMod val="75000"/>
                </a:schemeClr>
              </a:solidFill>
              <a:round/>
            </a:ln>
            <a:effectLst/>
          </c:spPr>
          <c:marker>
            <c:symbol val="none"/>
          </c:marker>
          <c:xVal>
            <c:numRef>
              <c:f>'Profitability range'!$M$2:$M$22</c:f>
              <c:numCache>
                <c:formatCode>0.00</c:formatCode>
                <c:ptCount val="21"/>
                <c:pt idx="0">
                  <c:v>5.24</c:v>
                </c:pt>
                <c:pt idx="1">
                  <c:v>5.24</c:v>
                </c:pt>
                <c:pt idx="2">
                  <c:v>5.24</c:v>
                </c:pt>
                <c:pt idx="3">
                  <c:v>5.24</c:v>
                </c:pt>
                <c:pt idx="4">
                  <c:v>5.24</c:v>
                </c:pt>
                <c:pt idx="5">
                  <c:v>5.24</c:v>
                </c:pt>
                <c:pt idx="6">
                  <c:v>5.24</c:v>
                </c:pt>
                <c:pt idx="7">
                  <c:v>5.24</c:v>
                </c:pt>
                <c:pt idx="8">
                  <c:v>5.24</c:v>
                </c:pt>
                <c:pt idx="9">
                  <c:v>5.24</c:v>
                </c:pt>
                <c:pt idx="10">
                  <c:v>5.24</c:v>
                </c:pt>
                <c:pt idx="11">
                  <c:v>5.24</c:v>
                </c:pt>
                <c:pt idx="12">
                  <c:v>5.24</c:v>
                </c:pt>
                <c:pt idx="13">
                  <c:v>5.24</c:v>
                </c:pt>
                <c:pt idx="14">
                  <c:v>5.24</c:v>
                </c:pt>
                <c:pt idx="15">
                  <c:v>5.24</c:v>
                </c:pt>
                <c:pt idx="16">
                  <c:v>5.24</c:v>
                </c:pt>
                <c:pt idx="17">
                  <c:v>5.24</c:v>
                </c:pt>
                <c:pt idx="18">
                  <c:v>5.24</c:v>
                </c:pt>
                <c:pt idx="19">
                  <c:v>5.24</c:v>
                </c:pt>
                <c:pt idx="20">
                  <c:v>5.24</c:v>
                </c:pt>
              </c:numCache>
            </c:numRef>
          </c:xVal>
          <c:yVal>
            <c:numRef>
              <c:f>'Profitability range'!$I$2:$I$22</c:f>
              <c:numCache>
                <c:formatCode>0.00</c:formatCode>
                <c:ptCount val="21"/>
                <c:pt idx="0">
                  <c:v>3.5109886588702204</c:v>
                </c:pt>
                <c:pt idx="1">
                  <c:v>1.6775742155959537</c:v>
                </c:pt>
                <c:pt idx="2">
                  <c:v>1.1020770575870502</c:v>
                </c:pt>
                <c:pt idx="3">
                  <c:v>0.82057589345242699</c:v>
                </c:pt>
                <c:pt idx="4">
                  <c:v>0.65362250719557502</c:v>
                </c:pt>
                <c:pt idx="5">
                  <c:v>0.54311997005346602</c:v>
                </c:pt>
                <c:pt idx="6">
                  <c:v>0.46457767503488817</c:v>
                </c:pt>
                <c:pt idx="7">
                  <c:v>0.40588182221936214</c:v>
                </c:pt>
                <c:pt idx="8">
                  <c:v>0.36035385562156497</c:v>
                </c:pt>
                <c:pt idx="9">
                  <c:v>0.32400954340557253</c:v>
                </c:pt>
                <c:pt idx="10">
                  <c:v>0.29432474785765017</c:v>
                </c:pt>
                <c:pt idx="11">
                  <c:v>0.26962271278776767</c:v>
                </c:pt>
                <c:pt idx="12">
                  <c:v>0.24874600254481238</c:v>
                </c:pt>
                <c:pt idx="13">
                  <c:v>0.23086989743918446</c:v>
                </c:pt>
                <c:pt idx="14">
                  <c:v>0.215390856377221</c:v>
                </c:pt>
                <c:pt idx="15">
                  <c:v>0.20185702939781661</c:v>
                </c:pt>
                <c:pt idx="16">
                  <c:v>0.18992341843725991</c:v>
                </c:pt>
                <c:pt idx="17">
                  <c:v>0.17932205542094617</c:v>
                </c:pt>
                <c:pt idx="18">
                  <c:v>0.16984164011981237</c:v>
                </c:pt>
                <c:pt idx="19">
                  <c:v>0.1613133127223827</c:v>
                </c:pt>
                <c:pt idx="20">
                  <c:v>0</c:v>
                </c:pt>
              </c:numCache>
            </c:numRef>
          </c:yVal>
          <c:smooth val="1"/>
          <c:extLst>
            <c:ext xmlns:c16="http://schemas.microsoft.com/office/drawing/2014/chart" uri="{C3380CC4-5D6E-409C-BE32-E72D297353CC}">
              <c16:uniqueId val="{00000004-D19A-4E7D-BF3F-3E061680D116}"/>
            </c:ext>
          </c:extLst>
        </c:ser>
        <c:dLbls>
          <c:showLegendKey val="0"/>
          <c:showVal val="0"/>
          <c:showCatName val="0"/>
          <c:showSerName val="0"/>
          <c:showPercent val="0"/>
          <c:showBubbleSize val="0"/>
        </c:dLbls>
        <c:axId val="419191103"/>
        <c:axId val="419190687"/>
      </c:scatterChart>
      <c:catAx>
        <c:axId val="40402268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a:t>GO price (EUR/MWh)</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4015615"/>
        <c:crosses val="autoZero"/>
        <c:auto val="1"/>
        <c:lblAlgn val="ctr"/>
        <c:lblOffset val="100"/>
        <c:tickMarkSkip val="1"/>
        <c:noMultiLvlLbl val="0"/>
      </c:catAx>
      <c:valAx>
        <c:axId val="404015615"/>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a:t>Installed solar capacity in Hungary (MW)</a:t>
                </a:r>
                <a:endParaRPr lang="en-US"/>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4022687"/>
        <c:crosses val="autoZero"/>
        <c:crossBetween val="between"/>
      </c:valAx>
      <c:valAx>
        <c:axId val="419190687"/>
        <c:scaling>
          <c:orientation val="minMax"/>
          <c:max val="2"/>
        </c:scaling>
        <c:delete val="0"/>
        <c:axPos val="r"/>
        <c:numFmt formatCode="0.00"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419191103"/>
        <c:crosses val="max"/>
        <c:crossBetween val="midCat"/>
      </c:valAx>
      <c:valAx>
        <c:axId val="419191103"/>
        <c:scaling>
          <c:orientation val="minMax"/>
          <c:max val="10.5"/>
          <c:min val="0.5"/>
        </c:scaling>
        <c:delete val="0"/>
        <c:axPos val="t"/>
        <c:numFmt formatCode="0.0" sourceLinked="0"/>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419190687"/>
        <c:crosses val="max"/>
        <c:crossBetween val="midCat"/>
        <c:majorUnit val="0.5"/>
      </c:valAx>
      <c:spPr>
        <a:noFill/>
        <a:ln>
          <a:noFill/>
        </a:ln>
        <a:effectLst/>
      </c:spPr>
    </c:plotArea>
    <c:legend>
      <c:legendPos val="b"/>
      <c:layout>
        <c:manualLayout>
          <c:xMode val="edge"/>
          <c:yMode val="edge"/>
          <c:x val="0.28455842592592595"/>
          <c:y val="0.93992067268388302"/>
          <c:w val="0.45675324074074075"/>
          <c:h val="5.541301460335423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hu-HU" sz="1200" b="1"/>
              <a:t>Revenue and costs per year (EUR)</a:t>
            </a:r>
            <a:endParaRPr lang="en-US" sz="1200" b="1"/>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rgbClr val="C00000"/>
            </a:solidFill>
            <a:ln>
              <a:noFill/>
            </a:ln>
            <a:effectLst/>
          </c:spPr>
          <c:invertIfNegative val="0"/>
          <c:dPt>
            <c:idx val="0"/>
            <c:invertIfNegative val="0"/>
            <c:bubble3D val="0"/>
            <c:spPr>
              <a:solidFill>
                <a:srgbClr val="00AFAE"/>
              </a:solidFill>
              <a:ln>
                <a:noFill/>
              </a:ln>
              <a:effectLst/>
            </c:spPr>
            <c:extLst>
              <c:ext xmlns:c16="http://schemas.microsoft.com/office/drawing/2014/chart" uri="{C3380CC4-5D6E-409C-BE32-E72D297353CC}">
                <c16:uniqueId val="{00000001-B03C-4CE2-9E80-65529D59121F}"/>
              </c:ext>
            </c:extLst>
          </c:dPt>
          <c:dPt>
            <c:idx val="1"/>
            <c:invertIfNegative val="0"/>
            <c:bubble3D val="0"/>
            <c:spPr>
              <a:solidFill>
                <a:srgbClr val="00AFAE"/>
              </a:solidFill>
              <a:ln>
                <a:noFill/>
              </a:ln>
              <a:effectLst/>
            </c:spPr>
            <c:extLst>
              <c:ext xmlns:c16="http://schemas.microsoft.com/office/drawing/2014/chart" uri="{C3380CC4-5D6E-409C-BE32-E72D297353CC}">
                <c16:uniqueId val="{00000003-B03C-4CE2-9E80-65529D59121F}"/>
              </c:ext>
            </c:extLst>
          </c:dPt>
          <c:dPt>
            <c:idx val="2"/>
            <c:invertIfNegative val="0"/>
            <c:bubble3D val="0"/>
            <c:spPr>
              <a:solidFill>
                <a:srgbClr val="4A8E1E"/>
              </a:solidFill>
              <a:ln>
                <a:noFill/>
              </a:ln>
              <a:effectLst/>
            </c:spPr>
            <c:extLst>
              <c:ext xmlns:c16="http://schemas.microsoft.com/office/drawing/2014/chart" uri="{C3380CC4-5D6E-409C-BE32-E72D297353CC}">
                <c16:uniqueId val="{00000005-B03C-4CE2-9E80-65529D59121F}"/>
              </c:ext>
            </c:extLst>
          </c:dPt>
          <c:dLbls>
            <c:dLbl>
              <c:idx val="0"/>
              <c:layout>
                <c:manualLayout>
                  <c:x val="-1.3199016080151339E-17"/>
                  <c:y val="6.532870370370370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3C-4CE2-9E80-65529D59121F}"/>
                </c:ext>
              </c:extLst>
            </c:dLbl>
            <c:dLbl>
              <c:idx val="1"/>
              <c:layout>
                <c:manualLayout>
                  <c:x val="0"/>
                  <c:y val="5.50694444444439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3C-4CE2-9E80-65529D59121F}"/>
                </c:ext>
              </c:extLst>
            </c:dLbl>
            <c:dLbl>
              <c:idx val="2"/>
              <c:layout>
                <c:manualLayout>
                  <c:x val="0"/>
                  <c:y val="7.87777777777776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3C-4CE2-9E80-65529D59121F}"/>
                </c:ext>
              </c:extLst>
            </c:dLbl>
            <c:dLbl>
              <c:idx val="3"/>
              <c:layout>
                <c:manualLayout>
                  <c:x val="0"/>
                  <c:y val="6.15460136649020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03C-4CE2-9E80-65529D59121F}"/>
                </c:ext>
              </c:extLst>
            </c:dLbl>
            <c:dLbl>
              <c:idx val="4"/>
              <c:layout>
                <c:manualLayout>
                  <c:x val="0"/>
                  <c:y val="5.47398172007424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3C-4CE2-9E80-65529D59121F}"/>
                </c:ext>
              </c:extLst>
            </c:dLbl>
            <c:dLbl>
              <c:idx val="5"/>
              <c:layout>
                <c:manualLayout>
                  <c:x val="-1.1272699324410674E-16"/>
                  <c:y val="5.96650783855510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03C-4CE2-9E80-65529D59121F}"/>
                </c:ext>
              </c:extLst>
            </c:dLbl>
            <c:dLbl>
              <c:idx val="6"/>
              <c:layout>
                <c:manualLayout>
                  <c:x val="-1.1272699324410674E-16"/>
                  <c:y val="5.92071890314664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03C-4CE2-9E80-65529D59121F}"/>
                </c:ext>
              </c:extLst>
            </c:dLbl>
            <c:dLbl>
              <c:idx val="7"/>
              <c:layout>
                <c:manualLayout>
                  <c:x val="-1.1272699324410674E-16"/>
                  <c:y val="8.52664164533784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03C-4CE2-9E80-65529D59121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 MW business case'!$B$12:$B$19</c:f>
              <c:strCache>
                <c:ptCount val="8"/>
                <c:pt idx="0">
                  <c:v>Revenue based on prices 3 years ago</c:v>
                </c:pt>
                <c:pt idx="1">
                  <c:v>Revenue based on prices in Oct-22</c:v>
                </c:pt>
                <c:pt idx="2">
                  <c:v>Revenue based on prices in Nov-22</c:v>
                </c:pt>
                <c:pt idx="3">
                  <c:v>HUPX GO membeship fee</c:v>
                </c:pt>
                <c:pt idx="4">
                  <c:v>HUPX GO transaction fee</c:v>
                </c:pt>
                <c:pt idx="5">
                  <c:v>MEKH account management fee</c:v>
                </c:pt>
                <c:pt idx="6">
                  <c:v>MEKH fee for issuance of GOs</c:v>
                </c:pt>
                <c:pt idx="7">
                  <c:v>Sum of fees</c:v>
                </c:pt>
              </c:strCache>
            </c:strRef>
          </c:cat>
          <c:val>
            <c:numRef>
              <c:f>'10 MW business case'!$C$12:$C$19</c:f>
              <c:numCache>
                <c:formatCode>_-* #\ ##0_-;\-* #\ ##0_-;_-* "-"??_-;_-@_-</c:formatCode>
                <c:ptCount val="8"/>
                <c:pt idx="0">
                  <c:v>11255.2</c:v>
                </c:pt>
                <c:pt idx="1">
                  <c:v>73721.56</c:v>
                </c:pt>
                <c:pt idx="2">
                  <c:v>114803.04000000001</c:v>
                </c:pt>
                <c:pt idx="3">
                  <c:v>-1000</c:v>
                </c:pt>
                <c:pt idx="4">
                  <c:v>-422.07</c:v>
                </c:pt>
                <c:pt idx="5">
                  <c:v>-250</c:v>
                </c:pt>
                <c:pt idx="6">
                  <c:v>-175.86250000000001</c:v>
                </c:pt>
                <c:pt idx="7">
                  <c:v>-1847.9324999999999</c:v>
                </c:pt>
              </c:numCache>
            </c:numRef>
          </c:val>
          <c:extLst>
            <c:ext xmlns:c16="http://schemas.microsoft.com/office/drawing/2014/chart" uri="{C3380CC4-5D6E-409C-BE32-E72D297353CC}">
              <c16:uniqueId val="{0000000B-B03C-4CE2-9E80-65529D59121F}"/>
            </c:ext>
          </c:extLst>
        </c:ser>
        <c:dLbls>
          <c:showLegendKey val="0"/>
          <c:showVal val="0"/>
          <c:showCatName val="0"/>
          <c:showSerName val="0"/>
          <c:showPercent val="0"/>
          <c:showBubbleSize val="0"/>
        </c:dLbls>
        <c:gapWidth val="219"/>
        <c:overlap val="-27"/>
        <c:axId val="1860948608"/>
        <c:axId val="1860949024"/>
      </c:barChart>
      <c:catAx>
        <c:axId val="186094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60949024"/>
        <c:crosses val="autoZero"/>
        <c:auto val="1"/>
        <c:lblAlgn val="ctr"/>
        <c:lblOffset val="100"/>
        <c:noMultiLvlLbl val="0"/>
      </c:catAx>
      <c:valAx>
        <c:axId val="1860949024"/>
        <c:scaling>
          <c:orientation val="minMax"/>
          <c:max val="120000"/>
          <c:min val="-10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60948608"/>
        <c:crosses val="autoZero"/>
        <c:crossBetween val="between"/>
        <c:majorUnit val="1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77635</xdr:colOff>
      <xdr:row>13</xdr:row>
      <xdr:rowOff>2</xdr:rowOff>
    </xdr:from>
    <xdr:to>
      <xdr:col>4</xdr:col>
      <xdr:colOff>25882</xdr:colOff>
      <xdr:row>14</xdr:row>
      <xdr:rowOff>77641</xdr:rowOff>
    </xdr:to>
    <xdr:sp macro="" textlink="">
      <xdr:nvSpPr>
        <xdr:cNvPr id="4" name="Arrow: Bent 3">
          <a:extLst>
            <a:ext uri="{FF2B5EF4-FFF2-40B4-BE49-F238E27FC236}">
              <a16:creationId xmlns:a16="http://schemas.microsoft.com/office/drawing/2014/main" id="{B5E3CFB6-DF76-1F88-81B3-278C08A2F7F1}"/>
            </a:ext>
          </a:extLst>
        </xdr:cNvPr>
        <xdr:cNvSpPr/>
      </xdr:nvSpPr>
      <xdr:spPr>
        <a:xfrm rot="5400000">
          <a:off x="2376577" y="-176842"/>
          <a:ext cx="258794" cy="1337100"/>
        </a:xfrm>
        <a:prstGeom prst="bentArrow">
          <a:avLst/>
        </a:prstGeom>
        <a:solidFill>
          <a:srgbClr val="4A8E1E"/>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11</xdr:col>
      <xdr:colOff>517586</xdr:colOff>
      <xdr:row>1</xdr:row>
      <xdr:rowOff>155275</xdr:rowOff>
    </xdr:from>
    <xdr:to>
      <xdr:col>13</xdr:col>
      <xdr:colOff>311178</xdr:colOff>
      <xdr:row>6</xdr:row>
      <xdr:rowOff>28217</xdr:rowOff>
    </xdr:to>
    <xdr:pic>
      <xdr:nvPicPr>
        <xdr:cNvPr id="6" name="Kép 2">
          <a:extLst>
            <a:ext uri="{FF2B5EF4-FFF2-40B4-BE49-F238E27FC236}">
              <a16:creationId xmlns:a16="http://schemas.microsoft.com/office/drawing/2014/main" id="{CF3E7E36-9CEE-440E-B49A-16645C92EF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6144" y="345056"/>
          <a:ext cx="2586199" cy="787342"/>
        </a:xfrm>
        <a:prstGeom prst="rect">
          <a:avLst/>
        </a:prstGeom>
      </xdr:spPr>
    </xdr:pic>
    <xdr:clientData/>
  </xdr:twoCellAnchor>
  <xdr:twoCellAnchor editAs="oneCell">
    <xdr:from>
      <xdr:col>1</xdr:col>
      <xdr:colOff>43132</xdr:colOff>
      <xdr:row>14</xdr:row>
      <xdr:rowOff>138023</xdr:rowOff>
    </xdr:from>
    <xdr:to>
      <xdr:col>4</xdr:col>
      <xdr:colOff>547922</xdr:colOff>
      <xdr:row>22</xdr:row>
      <xdr:rowOff>81429</xdr:rowOff>
    </xdr:to>
    <xdr:pic>
      <xdr:nvPicPr>
        <xdr:cNvPr id="9" name="Picture 8">
          <a:extLst>
            <a:ext uri="{FF2B5EF4-FFF2-40B4-BE49-F238E27FC236}">
              <a16:creationId xmlns:a16="http://schemas.microsoft.com/office/drawing/2014/main" id="{34D4CAB6-C5B3-5EDF-3BFA-083D312D31F3}"/>
            </a:ext>
          </a:extLst>
        </xdr:cNvPr>
        <xdr:cNvPicPr>
          <a:picLocks noChangeAspect="1"/>
        </xdr:cNvPicPr>
      </xdr:nvPicPr>
      <xdr:blipFill>
        <a:blip xmlns:r="http://schemas.openxmlformats.org/officeDocument/2006/relationships" r:embed="rId2"/>
        <a:stretch>
          <a:fillRect/>
        </a:stretch>
      </xdr:blipFill>
      <xdr:spPr>
        <a:xfrm>
          <a:off x="163902" y="2700068"/>
          <a:ext cx="3724795" cy="1409897"/>
        </a:xfrm>
        <a:prstGeom prst="rect">
          <a:avLst/>
        </a:prstGeom>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517586</xdr:colOff>
      <xdr:row>1</xdr:row>
      <xdr:rowOff>155275</xdr:rowOff>
    </xdr:from>
    <xdr:ext cx="2585414" cy="782636"/>
    <xdr:pic>
      <xdr:nvPicPr>
        <xdr:cNvPr id="2" name="Kép 2">
          <a:extLst>
            <a:ext uri="{FF2B5EF4-FFF2-40B4-BE49-F238E27FC236}">
              <a16:creationId xmlns:a16="http://schemas.microsoft.com/office/drawing/2014/main" id="{003E49CA-DEAD-4F08-AEE2-EA88BA4D82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9707" y="336430"/>
          <a:ext cx="2585414" cy="78263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517586</xdr:colOff>
      <xdr:row>1</xdr:row>
      <xdr:rowOff>155275</xdr:rowOff>
    </xdr:from>
    <xdr:ext cx="2585414" cy="782636"/>
    <xdr:pic>
      <xdr:nvPicPr>
        <xdr:cNvPr id="2" name="Kép 2">
          <a:extLst>
            <a:ext uri="{FF2B5EF4-FFF2-40B4-BE49-F238E27FC236}">
              <a16:creationId xmlns:a16="http://schemas.microsoft.com/office/drawing/2014/main" id="{74797877-EE29-42E6-97E5-385CD10344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29337" y="336430"/>
          <a:ext cx="2585414" cy="782636"/>
        </a:xfrm>
        <a:prstGeom prst="rect">
          <a:avLst/>
        </a:prstGeom>
      </xdr:spPr>
    </xdr:pic>
    <xdr:clientData/>
  </xdr:oneCellAnchor>
  <xdr:twoCellAnchor>
    <xdr:from>
      <xdr:col>1</xdr:col>
      <xdr:colOff>423478</xdr:colOff>
      <xdr:row>22</xdr:row>
      <xdr:rowOff>23527</xdr:rowOff>
    </xdr:from>
    <xdr:to>
      <xdr:col>9</xdr:col>
      <xdr:colOff>366113</xdr:colOff>
      <xdr:row>46</xdr:row>
      <xdr:rowOff>14635</xdr:rowOff>
    </xdr:to>
    <xdr:graphicFrame macro="">
      <xdr:nvGraphicFramePr>
        <xdr:cNvPr id="3" name="Chart 2">
          <a:extLst>
            <a:ext uri="{FF2B5EF4-FFF2-40B4-BE49-F238E27FC236}">
              <a16:creationId xmlns:a16="http://schemas.microsoft.com/office/drawing/2014/main" id="{F8AEAC52-AF2A-4BAB-96CB-090FF89D4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22</xdr:row>
      <xdr:rowOff>0</xdr:rowOff>
    </xdr:from>
    <xdr:to>
      <xdr:col>26</xdr:col>
      <xdr:colOff>41627</xdr:colOff>
      <xdr:row>47</xdr:row>
      <xdr:rowOff>58706</xdr:rowOff>
    </xdr:to>
    <xdr:graphicFrame macro="">
      <xdr:nvGraphicFramePr>
        <xdr:cNvPr id="4" name="Chart 3">
          <a:extLst>
            <a:ext uri="{FF2B5EF4-FFF2-40B4-BE49-F238E27FC236}">
              <a16:creationId xmlns:a16="http://schemas.microsoft.com/office/drawing/2014/main" id="{5F1C1997-4652-4253-ABD9-8B87F20F7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325067</xdr:colOff>
      <xdr:row>25</xdr:row>
      <xdr:rowOff>58706</xdr:rowOff>
    </xdr:to>
    <xdr:graphicFrame macro="">
      <xdr:nvGraphicFramePr>
        <xdr:cNvPr id="2" name="Chart 1">
          <a:extLst>
            <a:ext uri="{FF2B5EF4-FFF2-40B4-BE49-F238E27FC236}">
              <a16:creationId xmlns:a16="http://schemas.microsoft.com/office/drawing/2014/main" id="{FFA6780C-CE4B-41FD-9FC1-CF1221F3F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xdr:colOff>
      <xdr:row>0</xdr:row>
      <xdr:rowOff>0</xdr:rowOff>
    </xdr:from>
    <xdr:to>
      <xdr:col>35</xdr:col>
      <xdr:colOff>325068</xdr:colOff>
      <xdr:row>25</xdr:row>
      <xdr:rowOff>58706</xdr:rowOff>
    </xdr:to>
    <xdr:graphicFrame macro="">
      <xdr:nvGraphicFramePr>
        <xdr:cNvPr id="3" name="Chart 2">
          <a:extLst>
            <a:ext uri="{FF2B5EF4-FFF2-40B4-BE49-F238E27FC236}">
              <a16:creationId xmlns:a16="http://schemas.microsoft.com/office/drawing/2014/main" id="{9B07B0C9-C19D-4546-A247-92AB4D436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27</xdr:row>
      <xdr:rowOff>0</xdr:rowOff>
    </xdr:from>
    <xdr:to>
      <xdr:col>14</xdr:col>
      <xdr:colOff>193584</xdr:colOff>
      <xdr:row>50</xdr:row>
      <xdr:rowOff>68410</xdr:rowOff>
    </xdr:to>
    <xdr:graphicFrame macro="">
      <xdr:nvGraphicFramePr>
        <xdr:cNvPr id="4" name="Chart 3">
          <a:extLst>
            <a:ext uri="{FF2B5EF4-FFF2-40B4-BE49-F238E27FC236}">
              <a16:creationId xmlns:a16="http://schemas.microsoft.com/office/drawing/2014/main" id="{44BE3CBE-D34D-40DD-B622-B90BC1A840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nter\Desktop\KAT_es_premium_tamogatas_statisztikai_adatai_202201_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talom"/>
      <sheetName val="KAT_osszetetel"/>
      <sheetName val="premium_osszetetel"/>
      <sheetName val="KAT_BT"/>
      <sheetName val="PRT_BT"/>
      <sheetName val="menetrend-teny"/>
      <sheetName val="negyedoras_NOM_ACT_KAT"/>
      <sheetName val="negyedoras_ACT_PRT"/>
      <sheetName val="átl_men_elt_DA_ID"/>
      <sheetName val="DA_kereskedes"/>
      <sheetName val="ID_kereskedes"/>
      <sheetName val="ID_teljesules_db"/>
      <sheetName val="KAT_termeles"/>
      <sheetName val="KAT_napos_orakkal"/>
      <sheetName val="KAT_term_tipus_menny"/>
      <sheetName val="KAT_tám_tipus_ertek"/>
      <sheetName val="PT_term_tipus_menny"/>
      <sheetName val="PT_tám_tipus_ertek"/>
      <sheetName val="Termelés_arány"/>
      <sheetName val="penzeszkoz"/>
      <sheetName val="KAT_kiegyenlites"/>
      <sheetName val="KAT_KE_potdij"/>
      <sheetName val="KAT_KE_tipus"/>
      <sheetName val="KAT_KE_fajlagos"/>
      <sheetName val="okozoi_elteres"/>
      <sheetName val="KAT_KE_elszamolas"/>
      <sheetName val="KAT_KE_elszamolas_2"/>
      <sheetName val="komp hatá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hyperlink" Target="https://www.greenfact.com/" TargetMode="External"/><Relationship Id="rId1" Type="http://schemas.openxmlformats.org/officeDocument/2006/relationships/hyperlink" Target="https://hupx.hu/hu/go-piac/piaci-adato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352B3-829E-4426-A1FD-230C49DD5D4E}">
  <sheetPr codeName="Sheet1">
    <tabColor rgb="FF4A8E1E"/>
  </sheetPr>
  <dimension ref="B1:N26"/>
  <sheetViews>
    <sheetView showGridLines="0" tabSelected="1" zoomScale="110" zoomScaleNormal="110" workbookViewId="0"/>
  </sheetViews>
  <sheetFormatPr defaultRowHeight="14.3" x14ac:dyDescent="0.25"/>
  <cols>
    <col min="1" max="1" width="1.75" customWidth="1"/>
    <col min="2" max="2" width="24.625" customWidth="1"/>
    <col min="3" max="3" width="11.125" customWidth="1"/>
    <col min="4" max="4" width="10.875" bestFit="1" customWidth="1"/>
    <col min="8" max="8" width="21.25" bestFit="1" customWidth="1"/>
    <col min="9" max="9" width="17.625" customWidth="1"/>
    <col min="10" max="10" width="11.5" bestFit="1" customWidth="1"/>
    <col min="11" max="11" width="3.5" customWidth="1"/>
    <col min="12" max="12" width="22.875" customWidth="1"/>
    <col min="13" max="13" width="17.625" customWidth="1"/>
    <col min="14" max="14" width="9.75" customWidth="1"/>
  </cols>
  <sheetData>
    <row r="1" spans="2:14" ht="14.95" thickBot="1" x14ac:dyDescent="0.3"/>
    <row r="2" spans="2:14" x14ac:dyDescent="0.25">
      <c r="B2" s="54" t="s">
        <v>48</v>
      </c>
      <c r="C2" s="55"/>
      <c r="D2" s="56"/>
      <c r="H2" s="54" t="s">
        <v>26</v>
      </c>
      <c r="I2" s="55"/>
      <c r="J2" s="56"/>
    </row>
    <row r="3" spans="2:14" x14ac:dyDescent="0.25">
      <c r="B3" s="23" t="s">
        <v>50</v>
      </c>
      <c r="C3" s="37">
        <v>100000</v>
      </c>
      <c r="D3" s="24" t="s">
        <v>49</v>
      </c>
      <c r="H3" s="23" t="s">
        <v>58</v>
      </c>
      <c r="I3" s="17">
        <v>250</v>
      </c>
      <c r="J3" s="24" t="s">
        <v>20</v>
      </c>
    </row>
    <row r="4" spans="2:14" x14ac:dyDescent="0.25">
      <c r="B4" s="23" t="s">
        <v>51</v>
      </c>
      <c r="C4" s="17">
        <v>5</v>
      </c>
      <c r="D4" s="24" t="s">
        <v>46</v>
      </c>
      <c r="H4" s="23" t="s">
        <v>59</v>
      </c>
      <c r="I4" s="17">
        <v>0.03</v>
      </c>
      <c r="J4" s="24" t="s">
        <v>19</v>
      </c>
    </row>
    <row r="5" spans="2:14" x14ac:dyDescent="0.25">
      <c r="B5" s="23" t="s">
        <v>56</v>
      </c>
      <c r="C5" s="39">
        <f>C3/C8</f>
        <v>250</v>
      </c>
      <c r="D5" s="24" t="s">
        <v>52</v>
      </c>
      <c r="H5" s="23" t="s">
        <v>60</v>
      </c>
      <c r="I5" s="17">
        <v>1.35E-2</v>
      </c>
      <c r="J5" s="24" t="s">
        <v>19</v>
      </c>
    </row>
    <row r="6" spans="2:14" ht="14.95" thickBot="1" x14ac:dyDescent="0.3">
      <c r="B6" s="25" t="s">
        <v>57</v>
      </c>
      <c r="C6" s="38">
        <f>C4/C8</f>
        <v>1.2500000000000001E-2</v>
      </c>
      <c r="D6" s="27" t="s">
        <v>19</v>
      </c>
      <c r="H6" s="25" t="s">
        <v>61</v>
      </c>
      <c r="I6" s="26">
        <v>2.7E-2</v>
      </c>
      <c r="J6" s="27" t="s">
        <v>19</v>
      </c>
    </row>
    <row r="8" spans="2:14" ht="14.95" thickBot="1" x14ac:dyDescent="0.3">
      <c r="C8" s="34">
        <v>400</v>
      </c>
      <c r="D8" s="17" t="s">
        <v>47</v>
      </c>
    </row>
    <row r="9" spans="2:14" x14ac:dyDescent="0.25">
      <c r="B9" s="9" t="s">
        <v>27</v>
      </c>
      <c r="H9" s="51" t="s">
        <v>30</v>
      </c>
      <c r="I9" s="52"/>
      <c r="J9" s="53"/>
    </row>
    <row r="10" spans="2:14" x14ac:dyDescent="0.25">
      <c r="B10" t="s">
        <v>37</v>
      </c>
      <c r="H10" s="22" t="s">
        <v>8</v>
      </c>
      <c r="I10" s="31" t="s">
        <v>10</v>
      </c>
      <c r="J10" s="14"/>
    </row>
    <row r="11" spans="2:14" x14ac:dyDescent="0.25">
      <c r="B11" t="s">
        <v>35</v>
      </c>
      <c r="H11" s="19" t="str">
        <f>IF(I10="Sell","From","To")</f>
        <v>From</v>
      </c>
      <c r="I11" s="32" t="s">
        <v>11</v>
      </c>
      <c r="J11" s="1"/>
    </row>
    <row r="12" spans="2:14" x14ac:dyDescent="0.25">
      <c r="B12" t="s">
        <v>34</v>
      </c>
      <c r="H12" s="19" t="s">
        <v>1</v>
      </c>
      <c r="I12" s="32" t="s">
        <v>5</v>
      </c>
      <c r="J12" s="1"/>
    </row>
    <row r="13" spans="2:14" x14ac:dyDescent="0.25">
      <c r="H13" s="19" t="s">
        <v>23</v>
      </c>
      <c r="I13" s="33">
        <v>44743</v>
      </c>
      <c r="J13" s="1"/>
    </row>
    <row r="14" spans="2:14" x14ac:dyDescent="0.25">
      <c r="B14" s="18" t="s">
        <v>28</v>
      </c>
      <c r="H14" s="36" t="s">
        <v>14</v>
      </c>
      <c r="I14" s="34">
        <v>2</v>
      </c>
      <c r="J14" s="1" t="str">
        <f>IF(H14="Yearly GO quantity","MWh","MW")</f>
        <v>MW</v>
      </c>
    </row>
    <row r="15" spans="2:14" ht="14.95" thickBot="1" x14ac:dyDescent="0.3">
      <c r="H15" s="19" t="s">
        <v>21</v>
      </c>
      <c r="I15" s="35">
        <v>6.35</v>
      </c>
      <c r="J15" s="1" t="s">
        <v>19</v>
      </c>
    </row>
    <row r="16" spans="2:14" x14ac:dyDescent="0.25">
      <c r="H16" s="19" t="s">
        <v>22</v>
      </c>
      <c r="I16" s="15">
        <f>IF(AND(I11="Hungary",I13&lt;DATE(2022,2,1)),INDEX('Last prices'!$4:$4,MATCH(LARGE('Last prices'!$2:$2,1),'Last prices'!$2:$2,0)),INDEX('Last prices'!$3:$3,MATCH(LARGE('Last prices'!$2:$2,1),'Last prices'!$2:$2,0)))</f>
        <v>6.35</v>
      </c>
      <c r="J16" s="1" t="s">
        <v>19</v>
      </c>
      <c r="L16" s="57" t="s">
        <v>36</v>
      </c>
      <c r="M16" s="58"/>
      <c r="N16" s="59"/>
    </row>
    <row r="17" spans="2:14" x14ac:dyDescent="0.25">
      <c r="H17" s="19" t="s">
        <v>31</v>
      </c>
      <c r="I17" s="16">
        <f>INT(IF(H14="Yearly GO quantity",I14,I14*INDEX('Hungarian capacity factors'!B2:I13,MATCH(MONTH(I13),'Hungarian capacity factors'!A2:A13,0),MATCH(I12,'Hungarian capacity factors'!B1:I1,0))))</f>
        <v>329</v>
      </c>
      <c r="J17" s="1" t="s">
        <v>18</v>
      </c>
      <c r="L17" s="19" t="s">
        <v>24</v>
      </c>
      <c r="M17" s="16">
        <f>INT(IF(H14="Yearly GO quantity",I14,I14*INDEX('Hungarian capacity factors'!$15:$15,MATCH(Calculator!$I$12,'Hungarian capacity factors'!1:1,0))))</f>
        <v>2813</v>
      </c>
      <c r="N17" s="1" t="s">
        <v>18</v>
      </c>
    </row>
    <row r="18" spans="2:14" x14ac:dyDescent="0.25">
      <c r="H18" s="19" t="s">
        <v>32</v>
      </c>
      <c r="I18" s="15">
        <f>I17*I15</f>
        <v>2089.15</v>
      </c>
      <c r="J18" s="1" t="s">
        <v>0</v>
      </c>
      <c r="L18" s="19" t="s">
        <v>25</v>
      </c>
      <c r="M18" s="15">
        <f>M17*I15</f>
        <v>17862.55</v>
      </c>
      <c r="N18" s="1" t="s">
        <v>0</v>
      </c>
    </row>
    <row r="19" spans="2:14" x14ac:dyDescent="0.25">
      <c r="H19" s="19" t="s">
        <v>62</v>
      </c>
      <c r="I19" s="15">
        <f>I4*I17+IF(I11="Hungary",0,IF(I10="Buy",I5*I17,I6*I17))</f>
        <v>9.8699999999999992</v>
      </c>
      <c r="J19" s="1" t="s">
        <v>0</v>
      </c>
      <c r="L19" s="19" t="s">
        <v>63</v>
      </c>
      <c r="M19" s="15">
        <f>I3*4+I4*M17+IF(I11="Hungary",IF(I10="Buy",C5,C5+C6*M17),IF(I10="Buy",I5*M17,I6*M17))</f>
        <v>1369.5525000000002</v>
      </c>
      <c r="N19" s="1" t="s">
        <v>0</v>
      </c>
    </row>
    <row r="20" spans="2:14" ht="14.95" thickBot="1" x14ac:dyDescent="0.3">
      <c r="H20" s="20" t="s">
        <v>33</v>
      </c>
      <c r="I20" s="21">
        <f>IF(I10="Sell",I18-I19,I18+I19)</f>
        <v>2079.2800000000002</v>
      </c>
      <c r="J20" s="2" t="s">
        <v>0</v>
      </c>
      <c r="L20" s="20" t="s">
        <v>33</v>
      </c>
      <c r="M20" s="21">
        <f>IF(I10="Sell",M18-M19,M18+M19)</f>
        <v>16492.997499999998</v>
      </c>
      <c r="N20" s="2" t="s">
        <v>0</v>
      </c>
    </row>
    <row r="26" spans="2:14" x14ac:dyDescent="0.25">
      <c r="B26" s="30" t="s">
        <v>42</v>
      </c>
    </row>
  </sheetData>
  <sheetProtection algorithmName="SHA-512" hashValue="xRmQ9W7UTUIAGfLDWwZE+lz4p3hYg+EXAPVETt7fNmrWdw1u7Agvr97rJc27RD1PLzFWZbYCfpfwgr4ip24eJg==" saltValue="sL/74cWbzlzf4eTIVcdB/Q==" spinCount="100000" sheet="1" objects="1" scenarios="1"/>
  <protectedRanges>
    <protectedRange sqref="I10:I15 H14 C8" name="Range1"/>
  </protectedRanges>
  <mergeCells count="4">
    <mergeCell ref="H9:J9"/>
    <mergeCell ref="H2:J2"/>
    <mergeCell ref="L16:N16"/>
    <mergeCell ref="B2:D2"/>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294BE14D-1845-42E8-A1FB-87C6FAB84E56}">
          <x14:formula1>
            <xm:f>'Last prices'!$F$3:$F$4</xm:f>
          </x14:formula1>
          <xm:sqref>I10</xm:sqref>
        </x14:dataValidation>
        <x14:dataValidation type="list" allowBlank="1" showInputMessage="1" showErrorMessage="1" xr:uid="{4B7D071B-C447-4DF5-BA59-5337BB7CEDE4}">
          <x14:formula1>
            <xm:f>'Last prices'!$G$3:$G$4</xm:f>
          </x14:formula1>
          <xm:sqref>I11</xm:sqref>
        </x14:dataValidation>
        <x14:dataValidation type="list" allowBlank="1" showInputMessage="1" showErrorMessage="1" xr:uid="{7CD1482D-0FAA-4D1C-9A9A-83E053FBE8C3}">
          <x14:formula1>
            <xm:f>'FiT production volumes'!$A$5:$A$16</xm:f>
          </x14:formula1>
          <xm:sqref>I13</xm:sqref>
        </x14:dataValidation>
        <x14:dataValidation type="list" allowBlank="1" showInputMessage="1" showErrorMessage="1" xr:uid="{34FD3DDF-E6B0-456F-BF97-681D83F379EF}">
          <x14:formula1>
            <xm:f>'Last prices'!$H$3:$H$4</xm:f>
          </x14:formula1>
          <xm:sqref>H14</xm:sqref>
        </x14:dataValidation>
        <x14:dataValidation type="list" allowBlank="1" showInputMessage="1" showErrorMessage="1" xr:uid="{A982BA96-0135-422E-8CE4-9275196AC8DA}">
          <x14:formula1>
            <xm:f>'Last prices'!$A$3:$A$10</xm:f>
          </x14:formula1>
          <xm:sqref>I10:I12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185BF-3488-4123-8B88-D7E2B11E37EA}">
  <sheetPr codeName="Sheet2"/>
  <dimension ref="A1:T24"/>
  <sheetViews>
    <sheetView zoomScaleNormal="100" workbookViewId="0"/>
  </sheetViews>
  <sheetFormatPr defaultRowHeight="14.3" x14ac:dyDescent="0.25"/>
  <cols>
    <col min="8" max="8" width="18.5" bestFit="1" customWidth="1"/>
    <col min="9" max="9" width="7" customWidth="1"/>
    <col min="10" max="10" width="15.5" bestFit="1" customWidth="1"/>
    <col min="11" max="14" width="6.75" customWidth="1"/>
    <col min="15" max="15" width="14.75" bestFit="1" customWidth="1"/>
    <col min="16" max="16" width="22.625" bestFit="1" customWidth="1"/>
    <col min="17" max="17" width="17.5" bestFit="1" customWidth="1"/>
    <col min="18" max="18" width="14.875" bestFit="1" customWidth="1"/>
  </cols>
  <sheetData>
    <row r="1" spans="1:20" x14ac:dyDescent="0.25">
      <c r="F1" t="s">
        <v>72</v>
      </c>
      <c r="H1" t="s">
        <v>64</v>
      </c>
      <c r="J1" t="s">
        <v>71</v>
      </c>
      <c r="M1" t="s">
        <v>72</v>
      </c>
      <c r="O1" t="s">
        <v>66</v>
      </c>
      <c r="P1" t="s">
        <v>65</v>
      </c>
      <c r="Q1" t="s">
        <v>67</v>
      </c>
      <c r="R1" t="s">
        <v>68</v>
      </c>
      <c r="T1" t="s">
        <v>69</v>
      </c>
    </row>
    <row r="2" spans="1:20" x14ac:dyDescent="0.25">
      <c r="A2">
        <v>0.1</v>
      </c>
      <c r="B2">
        <f>(Calculator!$I$3*4+Calculator!$C$5+$T$5*1.01)/(A2*$T$2)-Calculator!$I$4-Calculator!$C$6</f>
        <v>16.020273114331257</v>
      </c>
      <c r="C2" s="40">
        <f>MAX($B$2:$B$21)+1</f>
        <v>17.020273114331257</v>
      </c>
      <c r="D2" s="40">
        <f>INDEX('Last prices'!$3:$3,MATCH(LARGE('Last prices'!$2:$2,1),'Last prices'!$2:$2,0))</f>
        <v>6.35</v>
      </c>
      <c r="E2" s="40">
        <f>INDEX('Last prices'!$3:$3,MATCH(LARGE('Last prices'!$2:$2,2),'Last prices'!$2:$2,0))</f>
        <v>8.16</v>
      </c>
      <c r="F2" s="40">
        <f>INDEX('Last prices'!$3:$3,MATCH(LARGE('Last prices'!$2:$2,3),'Last prices'!$2:$2,0))</f>
        <v>5.24</v>
      </c>
      <c r="H2" s="42">
        <v>0.5</v>
      </c>
      <c r="I2" s="40">
        <f>(Calculator!$I$3*4+Calculator!$C$5+$T$5*1.01)/(H2-Calculator!$I$4-Calculator!$C$6)/$T$2</f>
        <v>3.5109886588702204</v>
      </c>
      <c r="J2" s="40">
        <f t="shared" ref="J2:J21" si="0">MAX($I$2:$I$21)+1</f>
        <v>4.5109886588702199</v>
      </c>
      <c r="K2" s="40">
        <f>INDEX('Last prices'!$3:$3,MATCH(LARGE('Last prices'!$2:$2,1),'Last prices'!$2:$2,0))</f>
        <v>6.35</v>
      </c>
      <c r="L2" s="40">
        <f>INDEX('Last prices'!$3:$3,MATCH(LARGE('Last prices'!$2:$2,2),'Last prices'!$2:$2,0))</f>
        <v>8.16</v>
      </c>
      <c r="M2" s="40">
        <f>INDEX('Last prices'!$3:$3,MATCH(LARGE('Last prices'!$2:$2,3),'Last prices'!$2:$2,0))</f>
        <v>5.24</v>
      </c>
      <c r="N2" s="40"/>
      <c r="O2" s="41">
        <f>Q2-R2</f>
        <v>1009.5925</v>
      </c>
      <c r="P2" s="41">
        <f t="shared" ref="P2:P21" si="1">INT(I2*$T$2)</f>
        <v>4939</v>
      </c>
      <c r="Q2" s="41">
        <f t="shared" ref="Q2:Q21" si="2">P2*H2</f>
        <v>2469.5</v>
      </c>
      <c r="R2" s="41">
        <f>Calculator!$I$3*4+Calculator!$C$5+P2*(Calculator!$I$4+Calculator!$C$6)</f>
        <v>1459.9075</v>
      </c>
      <c r="T2" s="40">
        <v>1406.9799678510187</v>
      </c>
    </row>
    <row r="3" spans="1:20" x14ac:dyDescent="0.25">
      <c r="A3">
        <v>0.2</v>
      </c>
      <c r="B3">
        <f>(Calculator!$I$3*4+Calculator!$C$5+$T$5*1.01)/(A3*$T$2)-Calculator!$I$4-Calculator!$C$6</f>
        <v>7.9888865571656291</v>
      </c>
      <c r="C3" s="40">
        <f t="shared" ref="C3:C21" si="3">MAX($B$2:$B$21)+1</f>
        <v>17.020273114331257</v>
      </c>
      <c r="D3" s="40">
        <f>INDEX('Last prices'!$3:$3,MATCH(LARGE('Last prices'!$2:$2,1),'Last prices'!$2:$2,0))</f>
        <v>6.35</v>
      </c>
      <c r="E3" s="40">
        <f>INDEX('Last prices'!$3:$3,MATCH(LARGE('Last prices'!$2:$2,2),'Last prices'!$2:$2,0))</f>
        <v>8.16</v>
      </c>
      <c r="F3" s="40">
        <f>INDEX('Last prices'!$3:$3,MATCH(LARGE('Last prices'!$2:$2,3),'Last prices'!$2:$2,0))</f>
        <v>5.24</v>
      </c>
      <c r="H3" s="42">
        <v>1</v>
      </c>
      <c r="I3" s="40">
        <f>(Calculator!$I$3*4+Calculator!$C$5+$T$5*1.01)/(H3-Calculator!$I$4-Calculator!$C$6)/$T$2</f>
        <v>1.6775742155959537</v>
      </c>
      <c r="J3" s="40">
        <f t="shared" si="0"/>
        <v>4.5109886588702199</v>
      </c>
      <c r="K3" s="40">
        <f>INDEX('Last prices'!$3:$3,MATCH(LARGE('Last prices'!$2:$2,1),'Last prices'!$2:$2,0))</f>
        <v>6.35</v>
      </c>
      <c r="L3" s="40">
        <f>INDEX('Last prices'!$3:$3,MATCH(LARGE('Last prices'!$2:$2,2),'Last prices'!$2:$2,0))</f>
        <v>8.16</v>
      </c>
      <c r="M3" s="40">
        <f>INDEX('Last prices'!$3:$3,MATCH(LARGE('Last prices'!$2:$2,3),'Last prices'!$2:$2,0))</f>
        <v>5.24</v>
      </c>
      <c r="N3" s="40"/>
      <c r="O3" s="41">
        <f t="shared" ref="O3:O21" si="4">Q3-R3</f>
        <v>1009.7</v>
      </c>
      <c r="P3" s="41">
        <f t="shared" si="1"/>
        <v>2360</v>
      </c>
      <c r="Q3" s="41">
        <f t="shared" si="2"/>
        <v>2360</v>
      </c>
      <c r="R3" s="41">
        <f>Calculator!$I$3*4+Calculator!$I$4*P3+Calculator!$C$5+Calculator!$C$6*P3</f>
        <v>1350.3</v>
      </c>
    </row>
    <row r="4" spans="1:20" x14ac:dyDescent="0.25">
      <c r="A4">
        <v>0.3</v>
      </c>
      <c r="B4">
        <f>(Calculator!$I$3*4+Calculator!$C$5+$T$5*1.01)/(A4*$T$2)-Calculator!$I$4-Calculator!$C$6</f>
        <v>5.3117577047770856</v>
      </c>
      <c r="C4" s="40">
        <f t="shared" si="3"/>
        <v>17.020273114331257</v>
      </c>
      <c r="D4" s="40">
        <f>INDEX('Last prices'!$3:$3,MATCH(LARGE('Last prices'!$2:$2,1),'Last prices'!$2:$2,0))</f>
        <v>6.35</v>
      </c>
      <c r="E4" s="40">
        <f>INDEX('Last prices'!$3:$3,MATCH(LARGE('Last prices'!$2:$2,2),'Last prices'!$2:$2,0))</f>
        <v>8.16</v>
      </c>
      <c r="F4" s="40">
        <f>INDEX('Last prices'!$3:$3,MATCH(LARGE('Last prices'!$2:$2,3),'Last prices'!$2:$2,0))</f>
        <v>5.24</v>
      </c>
      <c r="H4" s="42">
        <v>1.5</v>
      </c>
      <c r="I4" s="40">
        <f>(Calculator!$I$3*4+Calculator!$C$5+$T$5*1.01)/(H4-Calculator!$I$4-Calculator!$C$6)/$T$2</f>
        <v>1.1020770575870502</v>
      </c>
      <c r="J4" s="40">
        <f t="shared" si="0"/>
        <v>4.5109886588702199</v>
      </c>
      <c r="K4" s="40">
        <f>INDEX('Last prices'!$3:$3,MATCH(LARGE('Last prices'!$2:$2,1),'Last prices'!$2:$2,0))</f>
        <v>6.35</v>
      </c>
      <c r="L4" s="40">
        <f>INDEX('Last prices'!$3:$3,MATCH(LARGE('Last prices'!$2:$2,2),'Last prices'!$2:$2,0))</f>
        <v>8.16</v>
      </c>
      <c r="M4" s="40">
        <f>INDEX('Last prices'!$3:$3,MATCH(LARGE('Last prices'!$2:$2,3),'Last prices'!$2:$2,0))</f>
        <v>5.24</v>
      </c>
      <c r="N4" s="40"/>
      <c r="O4" s="41">
        <f t="shared" si="4"/>
        <v>1009.125</v>
      </c>
      <c r="P4" s="41">
        <f t="shared" si="1"/>
        <v>1550</v>
      </c>
      <c r="Q4" s="41">
        <f t="shared" si="2"/>
        <v>2325</v>
      </c>
      <c r="R4" s="41">
        <f>Calculator!$I$3*4+Calculator!$I$4*P4+Calculator!$C$5+Calculator!$C$6*P4</f>
        <v>1315.875</v>
      </c>
      <c r="T4" t="s">
        <v>70</v>
      </c>
    </row>
    <row r="5" spans="1:20" x14ac:dyDescent="0.25">
      <c r="A5">
        <v>0.4</v>
      </c>
      <c r="B5">
        <f>(Calculator!$I$3*4+Calculator!$C$5+$T$5*1.01)/(A5*$T$2)-Calculator!$I$4-Calculator!$C$6</f>
        <v>3.9731932785828143</v>
      </c>
      <c r="C5" s="40">
        <f t="shared" si="3"/>
        <v>17.020273114331257</v>
      </c>
      <c r="D5" s="40">
        <f>INDEX('Last prices'!$3:$3,MATCH(LARGE('Last prices'!$2:$2,1),'Last prices'!$2:$2,0))</f>
        <v>6.35</v>
      </c>
      <c r="E5" s="40">
        <f>INDEX('Last prices'!$3:$3,MATCH(LARGE('Last prices'!$2:$2,2),'Last prices'!$2:$2,0))</f>
        <v>8.16</v>
      </c>
      <c r="F5" s="40">
        <f>INDEX('Last prices'!$3:$3,MATCH(LARGE('Last prices'!$2:$2,3),'Last prices'!$2:$2,0))</f>
        <v>5.24</v>
      </c>
      <c r="H5" s="42">
        <v>2</v>
      </c>
      <c r="I5" s="40">
        <f>(Calculator!$I$3*4+Calculator!$C$5+$T$5*1.01)/(H5-Calculator!$I$4-Calculator!$C$6)/$T$2</f>
        <v>0.82057589345242699</v>
      </c>
      <c r="J5" s="40">
        <f t="shared" si="0"/>
        <v>4.5109886588702199</v>
      </c>
      <c r="K5" s="40">
        <f>INDEX('Last prices'!$3:$3,MATCH(LARGE('Last prices'!$2:$2,1),'Last prices'!$2:$2,0))</f>
        <v>6.35</v>
      </c>
      <c r="L5" s="40">
        <f>INDEX('Last prices'!$3:$3,MATCH(LARGE('Last prices'!$2:$2,2),'Last prices'!$2:$2,0))</f>
        <v>8.16</v>
      </c>
      <c r="M5" s="40">
        <f>INDEX('Last prices'!$3:$3,MATCH(LARGE('Last prices'!$2:$2,3),'Last prices'!$2:$2,0))</f>
        <v>5.24</v>
      </c>
      <c r="N5" s="40"/>
      <c r="O5" s="41">
        <f t="shared" si="4"/>
        <v>1008.9550000000002</v>
      </c>
      <c r="P5" s="41">
        <f t="shared" si="1"/>
        <v>1154</v>
      </c>
      <c r="Q5" s="41">
        <f t="shared" si="2"/>
        <v>2308</v>
      </c>
      <c r="R5" s="41">
        <f>Calculator!$I$3*4+Calculator!$I$4*P5+Calculator!$C$5+Calculator!$C$6*P5</f>
        <v>1299.0449999999998</v>
      </c>
      <c r="T5">
        <v>1000</v>
      </c>
    </row>
    <row r="6" spans="1:20" x14ac:dyDescent="0.25">
      <c r="A6">
        <v>0.5</v>
      </c>
      <c r="B6">
        <f>(Calculator!$I$3*4+Calculator!$C$5+$T$5*1.01)/(A6*$T$2)-Calculator!$I$4-Calculator!$C$6</f>
        <v>3.1700546228662514</v>
      </c>
      <c r="C6" s="40">
        <f t="shared" si="3"/>
        <v>17.020273114331257</v>
      </c>
      <c r="D6" s="40">
        <f>INDEX('Last prices'!$3:$3,MATCH(LARGE('Last prices'!$2:$2,1),'Last prices'!$2:$2,0))</f>
        <v>6.35</v>
      </c>
      <c r="E6" s="40">
        <f>INDEX('Last prices'!$3:$3,MATCH(LARGE('Last prices'!$2:$2,2),'Last prices'!$2:$2,0))</f>
        <v>8.16</v>
      </c>
      <c r="F6" s="40">
        <f>INDEX('Last prices'!$3:$3,MATCH(LARGE('Last prices'!$2:$2,3),'Last prices'!$2:$2,0))</f>
        <v>5.24</v>
      </c>
      <c r="H6" s="42">
        <v>2.5</v>
      </c>
      <c r="I6" s="40">
        <f>(Calculator!$I$3*4+Calculator!$C$5+$T$5*1.01)/(H6-Calculator!$I$4-Calculator!$C$6)/$T$2</f>
        <v>0.65362250719557502</v>
      </c>
      <c r="J6" s="40">
        <f t="shared" si="0"/>
        <v>4.5109886588702199</v>
      </c>
      <c r="K6" s="40">
        <f>INDEX('Last prices'!$3:$3,MATCH(LARGE('Last prices'!$2:$2,1),'Last prices'!$2:$2,0))</f>
        <v>6.35</v>
      </c>
      <c r="L6" s="40">
        <f>INDEX('Last prices'!$3:$3,MATCH(LARGE('Last prices'!$2:$2,2),'Last prices'!$2:$2,0))</f>
        <v>8.16</v>
      </c>
      <c r="M6" s="40">
        <f>INDEX('Last prices'!$3:$3,MATCH(LARGE('Last prices'!$2:$2,3),'Last prices'!$2:$2,0))</f>
        <v>5.24</v>
      </c>
      <c r="N6" s="40"/>
      <c r="O6" s="41">
        <f t="shared" si="4"/>
        <v>1008.4425000000001</v>
      </c>
      <c r="P6" s="41">
        <f t="shared" si="1"/>
        <v>919</v>
      </c>
      <c r="Q6" s="41">
        <f t="shared" si="2"/>
        <v>2297.5</v>
      </c>
      <c r="R6" s="41">
        <f>Calculator!$I$3*4+Calculator!$I$4*P6+Calculator!$C$5+Calculator!$C$6*P6</f>
        <v>1289.0574999999999</v>
      </c>
    </row>
    <row r="7" spans="1:20" x14ac:dyDescent="0.25">
      <c r="A7">
        <v>0.6</v>
      </c>
      <c r="B7">
        <f>(Calculator!$I$3*4+Calculator!$C$5+$T$5*1.01)/(A7*$T$2)-Calculator!$I$4-Calculator!$C$6</f>
        <v>2.6346288523885431</v>
      </c>
      <c r="C7" s="40">
        <f t="shared" si="3"/>
        <v>17.020273114331257</v>
      </c>
      <c r="D7" s="40">
        <f>INDEX('Last prices'!$3:$3,MATCH(LARGE('Last prices'!$2:$2,1),'Last prices'!$2:$2,0))</f>
        <v>6.35</v>
      </c>
      <c r="E7" s="40">
        <f>INDEX('Last prices'!$3:$3,MATCH(LARGE('Last prices'!$2:$2,2),'Last prices'!$2:$2,0))</f>
        <v>8.16</v>
      </c>
      <c r="F7" s="40">
        <f>INDEX('Last prices'!$3:$3,MATCH(LARGE('Last prices'!$2:$2,3),'Last prices'!$2:$2,0))</f>
        <v>5.24</v>
      </c>
      <c r="H7" s="42">
        <v>3</v>
      </c>
      <c r="I7" s="40">
        <f>(Calculator!$I$3*4+Calculator!$C$5+$T$5*1.01)/(H7-Calculator!$I$4-Calculator!$C$6)/$T$2</f>
        <v>0.54311997005346602</v>
      </c>
      <c r="J7" s="40">
        <f t="shared" si="0"/>
        <v>4.5109886588702199</v>
      </c>
      <c r="K7" s="40">
        <f>INDEX('Last prices'!$3:$3,MATCH(LARGE('Last prices'!$2:$2,1),'Last prices'!$2:$2,0))</f>
        <v>6.35</v>
      </c>
      <c r="L7" s="40">
        <f>INDEX('Last prices'!$3:$3,MATCH(LARGE('Last prices'!$2:$2,2),'Last prices'!$2:$2,0))</f>
        <v>8.16</v>
      </c>
      <c r="M7" s="40">
        <f>INDEX('Last prices'!$3:$3,MATCH(LARGE('Last prices'!$2:$2,3),'Last prices'!$2:$2,0))</f>
        <v>5.24</v>
      </c>
      <c r="N7" s="40"/>
      <c r="O7" s="41">
        <f t="shared" si="4"/>
        <v>1009.53</v>
      </c>
      <c r="P7" s="41">
        <f t="shared" si="1"/>
        <v>764</v>
      </c>
      <c r="Q7" s="41">
        <f t="shared" si="2"/>
        <v>2292</v>
      </c>
      <c r="R7" s="41">
        <f>Calculator!$I$3*4+Calculator!$I$4*P7+Calculator!$C$5+Calculator!$C$6*P7</f>
        <v>1282.47</v>
      </c>
    </row>
    <row r="8" spans="1:20" x14ac:dyDescent="0.25">
      <c r="A8">
        <v>0.7</v>
      </c>
      <c r="B8">
        <f>(Calculator!$I$3*4+Calculator!$C$5+$T$5*1.01)/(A8*$T$2)-Calculator!$I$4-Calculator!$C$6</f>
        <v>2.252181873475894</v>
      </c>
      <c r="C8" s="40">
        <f t="shared" si="3"/>
        <v>17.020273114331257</v>
      </c>
      <c r="D8" s="40">
        <f>INDEX('Last prices'!$3:$3,MATCH(LARGE('Last prices'!$2:$2,1),'Last prices'!$2:$2,0))</f>
        <v>6.35</v>
      </c>
      <c r="E8" s="40">
        <f>INDEX('Last prices'!$3:$3,MATCH(LARGE('Last prices'!$2:$2,2),'Last prices'!$2:$2,0))</f>
        <v>8.16</v>
      </c>
      <c r="F8" s="40">
        <f>INDEX('Last prices'!$3:$3,MATCH(LARGE('Last prices'!$2:$2,3),'Last prices'!$2:$2,0))</f>
        <v>5.24</v>
      </c>
      <c r="H8" s="42">
        <v>3.5</v>
      </c>
      <c r="I8" s="40">
        <f>(Calculator!$I$3*4+Calculator!$C$5+$T$5*1.01)/(H8-Calculator!$I$4-Calculator!$C$6)/$T$2</f>
        <v>0.46457767503488817</v>
      </c>
      <c r="J8" s="40">
        <f t="shared" si="0"/>
        <v>4.5109886588702199</v>
      </c>
      <c r="K8" s="40">
        <f>INDEX('Last prices'!$3:$3,MATCH(LARGE('Last prices'!$2:$2,1),'Last prices'!$2:$2,0))</f>
        <v>6.35</v>
      </c>
      <c r="L8" s="40">
        <f>INDEX('Last prices'!$3:$3,MATCH(LARGE('Last prices'!$2:$2,2),'Last prices'!$2:$2,0))</f>
        <v>8.16</v>
      </c>
      <c r="M8" s="40">
        <f>INDEX('Last prices'!$3:$3,MATCH(LARGE('Last prices'!$2:$2,3),'Last prices'!$2:$2,0))</f>
        <v>5.24</v>
      </c>
      <c r="N8" s="40"/>
      <c r="O8" s="41">
        <f t="shared" si="4"/>
        <v>1007.7474999999999</v>
      </c>
      <c r="P8" s="41">
        <f t="shared" si="1"/>
        <v>653</v>
      </c>
      <c r="Q8" s="41">
        <f t="shared" si="2"/>
        <v>2285.5</v>
      </c>
      <c r="R8" s="41">
        <f>Calculator!$I$3*4+Calculator!$I$4*P8+Calculator!$C$5+Calculator!$C$6*P8</f>
        <v>1277.7525000000001</v>
      </c>
    </row>
    <row r="9" spans="1:20" x14ac:dyDescent="0.25">
      <c r="A9">
        <v>0.8</v>
      </c>
      <c r="B9">
        <f>(Calculator!$I$3*4+Calculator!$C$5+$T$5*1.01)/(A9*$T$2)-Calculator!$I$4-Calculator!$C$6</f>
        <v>1.9653466392914072</v>
      </c>
      <c r="C9" s="40">
        <f t="shared" si="3"/>
        <v>17.020273114331257</v>
      </c>
      <c r="D9" s="40">
        <f>INDEX('Last prices'!$3:$3,MATCH(LARGE('Last prices'!$2:$2,1),'Last prices'!$2:$2,0))</f>
        <v>6.35</v>
      </c>
      <c r="E9" s="40">
        <f>INDEX('Last prices'!$3:$3,MATCH(LARGE('Last prices'!$2:$2,2),'Last prices'!$2:$2,0))</f>
        <v>8.16</v>
      </c>
      <c r="F9" s="40">
        <f>INDEX('Last prices'!$3:$3,MATCH(LARGE('Last prices'!$2:$2,3),'Last prices'!$2:$2,0))</f>
        <v>5.24</v>
      </c>
      <c r="H9" s="42">
        <v>4</v>
      </c>
      <c r="I9" s="40">
        <f>(Calculator!$I$3*4+Calculator!$C$5+$T$5*1.01)/(H9-Calculator!$I$4-Calculator!$C$6)/$T$2</f>
        <v>0.40588182221936214</v>
      </c>
      <c r="J9" s="40">
        <f t="shared" si="0"/>
        <v>4.5109886588702199</v>
      </c>
      <c r="K9" s="40">
        <f>INDEX('Last prices'!$3:$3,MATCH(LARGE('Last prices'!$2:$2,1),'Last prices'!$2:$2,0))</f>
        <v>6.35</v>
      </c>
      <c r="L9" s="40">
        <f>INDEX('Last prices'!$3:$3,MATCH(LARGE('Last prices'!$2:$2,2),'Last prices'!$2:$2,0))</f>
        <v>8.16</v>
      </c>
      <c r="M9" s="40">
        <f>INDEX('Last prices'!$3:$3,MATCH(LARGE('Last prices'!$2:$2,3),'Last prices'!$2:$2,0))</f>
        <v>5.24</v>
      </c>
      <c r="N9" s="40"/>
      <c r="O9" s="41">
        <f t="shared" si="4"/>
        <v>1009.7324999999998</v>
      </c>
      <c r="P9" s="41">
        <f t="shared" si="1"/>
        <v>571</v>
      </c>
      <c r="Q9" s="41">
        <f t="shared" si="2"/>
        <v>2284</v>
      </c>
      <c r="R9" s="41">
        <f>Calculator!$I$3*4+Calculator!$I$4*P9+Calculator!$C$5+Calculator!$C$6*P9</f>
        <v>1274.2675000000002</v>
      </c>
    </row>
    <row r="10" spans="1:20" x14ac:dyDescent="0.25">
      <c r="A10">
        <v>0.9</v>
      </c>
      <c r="B10">
        <f>(Calculator!$I$3*4+Calculator!$C$5+$T$5*1.01)/(A10*$T$2)-Calculator!$I$4-Calculator!$C$6</f>
        <v>1.7422525682590286</v>
      </c>
      <c r="C10" s="40">
        <f t="shared" si="3"/>
        <v>17.020273114331257</v>
      </c>
      <c r="D10" s="40">
        <f>INDEX('Last prices'!$3:$3,MATCH(LARGE('Last prices'!$2:$2,1),'Last prices'!$2:$2,0))</f>
        <v>6.35</v>
      </c>
      <c r="E10" s="40">
        <f>INDEX('Last prices'!$3:$3,MATCH(LARGE('Last prices'!$2:$2,2),'Last prices'!$2:$2,0))</f>
        <v>8.16</v>
      </c>
      <c r="F10" s="40">
        <f>INDEX('Last prices'!$3:$3,MATCH(LARGE('Last prices'!$2:$2,3),'Last prices'!$2:$2,0))</f>
        <v>5.24</v>
      </c>
      <c r="H10" s="42">
        <v>4.5</v>
      </c>
      <c r="I10" s="40">
        <f>(Calculator!$I$3*4+Calculator!$C$5+$T$5*1.01)/(H10-Calculator!$I$4-Calculator!$C$6)/$T$2</f>
        <v>0.36035385562156497</v>
      </c>
      <c r="J10" s="40">
        <f t="shared" si="0"/>
        <v>4.5109886588702199</v>
      </c>
      <c r="K10" s="40">
        <f>INDEX('Last prices'!$3:$3,MATCH(LARGE('Last prices'!$2:$2,1),'Last prices'!$2:$2,0))</f>
        <v>6.35</v>
      </c>
      <c r="L10" s="40">
        <f>INDEX('Last prices'!$3:$3,MATCH(LARGE('Last prices'!$2:$2,2),'Last prices'!$2:$2,0))</f>
        <v>8.16</v>
      </c>
      <c r="M10" s="40">
        <f>INDEX('Last prices'!$3:$3,MATCH(LARGE('Last prices'!$2:$2,3),'Last prices'!$2:$2,0))</f>
        <v>5.24</v>
      </c>
      <c r="N10" s="40"/>
      <c r="O10" s="41">
        <f t="shared" si="4"/>
        <v>1009.9524999999999</v>
      </c>
      <c r="P10" s="41">
        <f t="shared" si="1"/>
        <v>507</v>
      </c>
      <c r="Q10" s="41">
        <f t="shared" si="2"/>
        <v>2281.5</v>
      </c>
      <c r="R10" s="41">
        <f>Calculator!$I$3*4+Calculator!$I$4*P10+Calculator!$C$5+Calculator!$C$6*P10</f>
        <v>1271.5475000000001</v>
      </c>
    </row>
    <row r="11" spans="1:20" x14ac:dyDescent="0.25">
      <c r="A11">
        <v>1</v>
      </c>
      <c r="B11">
        <f>(Calculator!$I$3*4+Calculator!$C$5+$T$5*1.01)/(A11*$T$2)-Calculator!$I$4-Calculator!$C$6</f>
        <v>1.5637773114331257</v>
      </c>
      <c r="C11" s="40">
        <f t="shared" si="3"/>
        <v>17.020273114331257</v>
      </c>
      <c r="D11" s="40">
        <f>INDEX('Last prices'!$3:$3,MATCH(LARGE('Last prices'!$2:$2,1),'Last prices'!$2:$2,0))</f>
        <v>6.35</v>
      </c>
      <c r="E11" s="40">
        <f>INDEX('Last prices'!$3:$3,MATCH(LARGE('Last prices'!$2:$2,2),'Last prices'!$2:$2,0))</f>
        <v>8.16</v>
      </c>
      <c r="F11" s="40">
        <f>INDEX('Last prices'!$3:$3,MATCH(LARGE('Last prices'!$2:$2,3),'Last prices'!$2:$2,0))</f>
        <v>5.24</v>
      </c>
      <c r="H11" s="42">
        <v>5</v>
      </c>
      <c r="I11" s="40">
        <f>(Calculator!$I$3*4+Calculator!$C$5+$T$5*1.01)/(H11-Calculator!$I$4-Calculator!$C$6)/$T$2</f>
        <v>0.32400954340557253</v>
      </c>
      <c r="J11" s="40">
        <f t="shared" si="0"/>
        <v>4.5109886588702199</v>
      </c>
      <c r="K11" s="40">
        <f>INDEX('Last prices'!$3:$3,MATCH(LARGE('Last prices'!$2:$2,1),'Last prices'!$2:$2,0))</f>
        <v>6.35</v>
      </c>
      <c r="L11" s="40">
        <f>INDEX('Last prices'!$3:$3,MATCH(LARGE('Last prices'!$2:$2,2),'Last prices'!$2:$2,0))</f>
        <v>8.16</v>
      </c>
      <c r="M11" s="40">
        <f>INDEX('Last prices'!$3:$3,MATCH(LARGE('Last prices'!$2:$2,3),'Last prices'!$2:$2,0))</f>
        <v>5.24</v>
      </c>
      <c r="N11" s="40"/>
      <c r="O11" s="41">
        <f t="shared" si="4"/>
        <v>1005.6624999999999</v>
      </c>
      <c r="P11" s="41">
        <f t="shared" si="1"/>
        <v>455</v>
      </c>
      <c r="Q11" s="41">
        <f t="shared" si="2"/>
        <v>2275</v>
      </c>
      <c r="R11" s="41">
        <f>Calculator!$I$3*4+Calculator!$I$4*P11+Calculator!$C$5+Calculator!$C$6*P11</f>
        <v>1269.3375000000001</v>
      </c>
    </row>
    <row r="12" spans="1:20" x14ac:dyDescent="0.25">
      <c r="A12">
        <v>1.1000000000000001</v>
      </c>
      <c r="B12">
        <f>(Calculator!$I$3*4+Calculator!$C$5+$T$5*1.01)/(A12*$T$2)-Calculator!$I$4-Calculator!$C$6</f>
        <v>1.4177521013028413</v>
      </c>
      <c r="C12" s="40">
        <f t="shared" si="3"/>
        <v>17.020273114331257</v>
      </c>
      <c r="D12" s="40">
        <f>INDEX('Last prices'!$3:$3,MATCH(LARGE('Last prices'!$2:$2,1),'Last prices'!$2:$2,0))</f>
        <v>6.35</v>
      </c>
      <c r="E12" s="40">
        <f>INDEX('Last prices'!$3:$3,MATCH(LARGE('Last prices'!$2:$2,2),'Last prices'!$2:$2,0))</f>
        <v>8.16</v>
      </c>
      <c r="F12" s="40">
        <f>INDEX('Last prices'!$3:$3,MATCH(LARGE('Last prices'!$2:$2,3),'Last prices'!$2:$2,0))</f>
        <v>5.24</v>
      </c>
      <c r="H12" s="42">
        <v>5.5</v>
      </c>
      <c r="I12" s="40">
        <f>(Calculator!$I$3*4+Calculator!$C$5+$T$5*1.01)/(H12-Calculator!$I$4-Calculator!$C$6)/$T$2</f>
        <v>0.29432474785765017</v>
      </c>
      <c r="J12" s="40">
        <f t="shared" si="0"/>
        <v>4.5109886588702199</v>
      </c>
      <c r="K12" s="40">
        <f>INDEX('Last prices'!$3:$3,MATCH(LARGE('Last prices'!$2:$2,1),'Last prices'!$2:$2,0))</f>
        <v>6.35</v>
      </c>
      <c r="L12" s="40">
        <f>INDEX('Last prices'!$3:$3,MATCH(LARGE('Last prices'!$2:$2,2),'Last prices'!$2:$2,0))</f>
        <v>8.16</v>
      </c>
      <c r="M12" s="40">
        <f>INDEX('Last prices'!$3:$3,MATCH(LARGE('Last prices'!$2:$2,3),'Last prices'!$2:$2,0))</f>
        <v>5.24</v>
      </c>
      <c r="N12" s="40"/>
      <c r="O12" s="41">
        <f t="shared" si="4"/>
        <v>1009.405</v>
      </c>
      <c r="P12" s="41">
        <f t="shared" si="1"/>
        <v>414</v>
      </c>
      <c r="Q12" s="41">
        <f t="shared" si="2"/>
        <v>2277</v>
      </c>
      <c r="R12" s="41">
        <f>Calculator!$I$3*4+Calculator!$I$4*P12+Calculator!$C$5+Calculator!$C$6*P12</f>
        <v>1267.595</v>
      </c>
    </row>
    <row r="13" spans="1:20" x14ac:dyDescent="0.25">
      <c r="A13">
        <v>1.2</v>
      </c>
      <c r="B13">
        <f>(Calculator!$I$3*4+Calculator!$C$5+$T$5*1.01)/(A13*$T$2)-Calculator!$I$4-Calculator!$C$6</f>
        <v>1.2960644261942715</v>
      </c>
      <c r="C13" s="40">
        <f t="shared" si="3"/>
        <v>17.020273114331257</v>
      </c>
      <c r="D13" s="40">
        <f>INDEX('Last prices'!$3:$3,MATCH(LARGE('Last prices'!$2:$2,1),'Last prices'!$2:$2,0))</f>
        <v>6.35</v>
      </c>
      <c r="E13" s="40">
        <f>INDEX('Last prices'!$3:$3,MATCH(LARGE('Last prices'!$2:$2,2),'Last prices'!$2:$2,0))</f>
        <v>8.16</v>
      </c>
      <c r="F13" s="40">
        <f>INDEX('Last prices'!$3:$3,MATCH(LARGE('Last prices'!$2:$2,3),'Last prices'!$2:$2,0))</f>
        <v>5.24</v>
      </c>
      <c r="H13" s="42">
        <v>6</v>
      </c>
      <c r="I13" s="40">
        <f>(Calculator!$I$3*4+Calculator!$C$5+$T$5*1.01)/(H13-Calculator!$I$4-Calculator!$C$6)/$T$2</f>
        <v>0.26962271278776767</v>
      </c>
      <c r="J13" s="40">
        <f t="shared" si="0"/>
        <v>4.5109886588702199</v>
      </c>
      <c r="K13" s="40">
        <f>INDEX('Last prices'!$3:$3,MATCH(LARGE('Last prices'!$2:$2,1),'Last prices'!$2:$2,0))</f>
        <v>6.35</v>
      </c>
      <c r="L13" s="40">
        <f>INDEX('Last prices'!$3:$3,MATCH(LARGE('Last prices'!$2:$2,2),'Last prices'!$2:$2,0))</f>
        <v>8.16</v>
      </c>
      <c r="M13" s="40">
        <f>INDEX('Last prices'!$3:$3,MATCH(LARGE('Last prices'!$2:$2,3),'Last prices'!$2:$2,0))</f>
        <v>5.24</v>
      </c>
      <c r="N13" s="40"/>
      <c r="O13" s="41">
        <f t="shared" si="4"/>
        <v>1007.8925000000002</v>
      </c>
      <c r="P13" s="41">
        <f t="shared" si="1"/>
        <v>379</v>
      </c>
      <c r="Q13" s="41">
        <f t="shared" si="2"/>
        <v>2274</v>
      </c>
      <c r="R13" s="41">
        <f>Calculator!$I$3*4+Calculator!$I$4*P13+Calculator!$C$5+Calculator!$C$6*P13</f>
        <v>1266.1074999999998</v>
      </c>
    </row>
    <row r="14" spans="1:20" x14ac:dyDescent="0.25">
      <c r="A14">
        <v>1.3</v>
      </c>
      <c r="B14">
        <f>(Calculator!$I$3*4+Calculator!$C$5+$T$5*1.01)/(A14*$T$2)-Calculator!$I$4-Calculator!$C$6</f>
        <v>1.193097931871635</v>
      </c>
      <c r="C14" s="40">
        <f t="shared" si="3"/>
        <v>17.020273114331257</v>
      </c>
      <c r="D14" s="40">
        <f>INDEX('Last prices'!$3:$3,MATCH(LARGE('Last prices'!$2:$2,1),'Last prices'!$2:$2,0))</f>
        <v>6.35</v>
      </c>
      <c r="E14" s="40">
        <f>INDEX('Last prices'!$3:$3,MATCH(LARGE('Last prices'!$2:$2,2),'Last prices'!$2:$2,0))</f>
        <v>8.16</v>
      </c>
      <c r="F14" s="40">
        <f>INDEX('Last prices'!$3:$3,MATCH(LARGE('Last prices'!$2:$2,3),'Last prices'!$2:$2,0))</f>
        <v>5.24</v>
      </c>
      <c r="H14" s="42">
        <v>6.5</v>
      </c>
      <c r="I14" s="40">
        <f>(Calculator!$I$3*4+Calculator!$C$5+$T$5*1.01)/(H14-Calculator!$I$4-Calculator!$C$6)/$T$2</f>
        <v>0.24874600254481238</v>
      </c>
      <c r="J14" s="40">
        <f t="shared" si="0"/>
        <v>4.5109886588702199</v>
      </c>
      <c r="K14" s="40">
        <f>INDEX('Last prices'!$3:$3,MATCH(LARGE('Last prices'!$2:$2,1),'Last prices'!$2:$2,0))</f>
        <v>6.35</v>
      </c>
      <c r="L14" s="40">
        <f>INDEX('Last prices'!$3:$3,MATCH(LARGE('Last prices'!$2:$2,2),'Last prices'!$2:$2,0))</f>
        <v>8.16</v>
      </c>
      <c r="M14" s="40">
        <f>INDEX('Last prices'!$3:$3,MATCH(LARGE('Last prices'!$2:$2,3),'Last prices'!$2:$2,0))</f>
        <v>5.24</v>
      </c>
      <c r="N14" s="40"/>
      <c r="O14" s="41">
        <f t="shared" si="4"/>
        <v>1003.6675</v>
      </c>
      <c r="P14" s="41">
        <f t="shared" si="1"/>
        <v>349</v>
      </c>
      <c r="Q14" s="41">
        <f t="shared" si="2"/>
        <v>2268.5</v>
      </c>
      <c r="R14" s="41">
        <f>Calculator!$I$3*4+Calculator!$I$4*P14+Calculator!$C$5+Calculator!$C$6*P14</f>
        <v>1264.8325</v>
      </c>
    </row>
    <row r="15" spans="1:20" x14ac:dyDescent="0.25">
      <c r="A15">
        <v>1.4</v>
      </c>
      <c r="B15">
        <f>(Calculator!$I$3*4+Calculator!$C$5+$T$5*1.01)/(A15*$T$2)-Calculator!$I$4-Calculator!$C$6</f>
        <v>1.104840936737947</v>
      </c>
      <c r="C15" s="40">
        <f t="shared" si="3"/>
        <v>17.020273114331257</v>
      </c>
      <c r="D15" s="40">
        <f>INDEX('Last prices'!$3:$3,MATCH(LARGE('Last prices'!$2:$2,1),'Last prices'!$2:$2,0))</f>
        <v>6.35</v>
      </c>
      <c r="E15" s="40">
        <f>INDEX('Last prices'!$3:$3,MATCH(LARGE('Last prices'!$2:$2,2),'Last prices'!$2:$2,0))</f>
        <v>8.16</v>
      </c>
      <c r="F15" s="40">
        <f>INDEX('Last prices'!$3:$3,MATCH(LARGE('Last prices'!$2:$2,3),'Last prices'!$2:$2,0))</f>
        <v>5.24</v>
      </c>
      <c r="H15" s="42">
        <v>7</v>
      </c>
      <c r="I15" s="40">
        <f>(Calculator!$I$3*4+Calculator!$C$5+$T$5*1.01)/(H15-Calculator!$I$4-Calculator!$C$6)/$T$2</f>
        <v>0.23086989743918446</v>
      </c>
      <c r="J15" s="40">
        <f t="shared" si="0"/>
        <v>4.5109886588702199</v>
      </c>
      <c r="K15" s="40">
        <f>INDEX('Last prices'!$3:$3,MATCH(LARGE('Last prices'!$2:$2,1),'Last prices'!$2:$2,0))</f>
        <v>6.35</v>
      </c>
      <c r="L15" s="40">
        <f>INDEX('Last prices'!$3:$3,MATCH(LARGE('Last prices'!$2:$2,2),'Last prices'!$2:$2,0))</f>
        <v>8.16</v>
      </c>
      <c r="M15" s="40">
        <f>INDEX('Last prices'!$3:$3,MATCH(LARGE('Last prices'!$2:$2,3),'Last prices'!$2:$2,0))</f>
        <v>5.24</v>
      </c>
      <c r="N15" s="40"/>
      <c r="O15" s="41">
        <f t="shared" si="4"/>
        <v>1004.23</v>
      </c>
      <c r="P15" s="41">
        <f t="shared" si="1"/>
        <v>324</v>
      </c>
      <c r="Q15" s="41">
        <f t="shared" si="2"/>
        <v>2268</v>
      </c>
      <c r="R15" s="41">
        <f>Calculator!$I$3*4+Calculator!$I$4*P15+Calculator!$C$5+Calculator!$C$6*P15</f>
        <v>1263.77</v>
      </c>
    </row>
    <row r="16" spans="1:20" x14ac:dyDescent="0.25">
      <c r="A16">
        <v>1.5</v>
      </c>
      <c r="B16">
        <f>(Calculator!$I$3*4+Calculator!$C$5+$T$5*1.01)/(A16*$T$2)-Calculator!$I$4-Calculator!$C$6</f>
        <v>1.0283515409554171</v>
      </c>
      <c r="C16" s="40">
        <f t="shared" si="3"/>
        <v>17.020273114331257</v>
      </c>
      <c r="D16" s="40">
        <f>INDEX('Last prices'!$3:$3,MATCH(LARGE('Last prices'!$2:$2,1),'Last prices'!$2:$2,0))</f>
        <v>6.35</v>
      </c>
      <c r="E16" s="40">
        <f>INDEX('Last prices'!$3:$3,MATCH(LARGE('Last prices'!$2:$2,2),'Last prices'!$2:$2,0))</f>
        <v>8.16</v>
      </c>
      <c r="F16" s="40">
        <f>INDEX('Last prices'!$3:$3,MATCH(LARGE('Last prices'!$2:$2,3),'Last prices'!$2:$2,0))</f>
        <v>5.24</v>
      </c>
      <c r="H16" s="42">
        <v>7.5</v>
      </c>
      <c r="I16" s="40">
        <f>(Calculator!$I$3*4+Calculator!$C$5+$T$5*1.01)/(H16-Calculator!$I$4-Calculator!$C$6)/$T$2</f>
        <v>0.215390856377221</v>
      </c>
      <c r="J16" s="40">
        <f t="shared" si="0"/>
        <v>4.5109886588702199</v>
      </c>
      <c r="K16" s="40">
        <f>INDEX('Last prices'!$3:$3,MATCH(LARGE('Last prices'!$2:$2,1),'Last prices'!$2:$2,0))</f>
        <v>6.35</v>
      </c>
      <c r="L16" s="40">
        <f>INDEX('Last prices'!$3:$3,MATCH(LARGE('Last prices'!$2:$2,2),'Last prices'!$2:$2,0))</f>
        <v>8.16</v>
      </c>
      <c r="M16" s="40">
        <f>INDEX('Last prices'!$3:$3,MATCH(LARGE('Last prices'!$2:$2,3),'Last prices'!$2:$2,0))</f>
        <v>5.24</v>
      </c>
      <c r="N16" s="40"/>
      <c r="O16" s="41">
        <f t="shared" si="4"/>
        <v>1009.6224999999999</v>
      </c>
      <c r="P16" s="41">
        <f t="shared" si="1"/>
        <v>303</v>
      </c>
      <c r="Q16" s="41">
        <f t="shared" si="2"/>
        <v>2272.5</v>
      </c>
      <c r="R16" s="41">
        <f>Calculator!$I$3*4+Calculator!$I$4*P16+Calculator!$C$5+Calculator!$C$6*P16</f>
        <v>1262.8775000000001</v>
      </c>
    </row>
    <row r="17" spans="1:18" x14ac:dyDescent="0.25">
      <c r="A17">
        <v>1.6</v>
      </c>
      <c r="B17">
        <f>(Calculator!$I$3*4+Calculator!$C$5+$T$5*1.01)/(A17*$T$2)-Calculator!$I$4-Calculator!$C$6</f>
        <v>0.9614233196457036</v>
      </c>
      <c r="C17" s="40">
        <f t="shared" si="3"/>
        <v>17.020273114331257</v>
      </c>
      <c r="D17" s="40">
        <f>INDEX('Last prices'!$3:$3,MATCH(LARGE('Last prices'!$2:$2,1),'Last prices'!$2:$2,0))</f>
        <v>6.35</v>
      </c>
      <c r="E17" s="40">
        <f>INDEX('Last prices'!$3:$3,MATCH(LARGE('Last prices'!$2:$2,2),'Last prices'!$2:$2,0))</f>
        <v>8.16</v>
      </c>
      <c r="F17" s="40">
        <f>INDEX('Last prices'!$3:$3,MATCH(LARGE('Last prices'!$2:$2,3),'Last prices'!$2:$2,0))</f>
        <v>5.24</v>
      </c>
      <c r="H17" s="42">
        <v>8</v>
      </c>
      <c r="I17" s="40">
        <f>(Calculator!$I$3*4+Calculator!$C$5+$T$5*1.01)/(H17-Calculator!$I$4-Calculator!$C$6)/$T$2</f>
        <v>0.20185702939781661</v>
      </c>
      <c r="J17" s="40">
        <f t="shared" si="0"/>
        <v>4.5109886588702199</v>
      </c>
      <c r="K17" s="40">
        <f>INDEX('Last prices'!$3:$3,MATCH(LARGE('Last prices'!$2:$2,1),'Last prices'!$2:$2,0))</f>
        <v>6.35</v>
      </c>
      <c r="L17" s="40">
        <f>INDEX('Last prices'!$3:$3,MATCH(LARGE('Last prices'!$2:$2,2),'Last prices'!$2:$2,0))</f>
        <v>8.16</v>
      </c>
      <c r="M17" s="40">
        <f>INDEX('Last prices'!$3:$3,MATCH(LARGE('Last prices'!$2:$2,3),'Last prices'!$2:$2,0))</f>
        <v>5.24</v>
      </c>
      <c r="N17" s="40"/>
      <c r="O17" s="41">
        <f t="shared" si="4"/>
        <v>1009.9300000000001</v>
      </c>
      <c r="P17" s="41">
        <f t="shared" si="1"/>
        <v>284</v>
      </c>
      <c r="Q17" s="41">
        <f t="shared" si="2"/>
        <v>2272</v>
      </c>
      <c r="R17" s="41">
        <f>Calculator!$I$3*4+Calculator!$I$4*P17+Calculator!$C$5+Calculator!$C$6*P17</f>
        <v>1262.07</v>
      </c>
    </row>
    <row r="18" spans="1:18" x14ac:dyDescent="0.25">
      <c r="A18">
        <v>1.7</v>
      </c>
      <c r="B18">
        <f>(Calculator!$I$3*4+Calculator!$C$5+$T$5*1.01)/(A18*$T$2)-Calculator!$I$4-Calculator!$C$6</f>
        <v>0.90236900672536813</v>
      </c>
      <c r="C18" s="40">
        <f t="shared" si="3"/>
        <v>17.020273114331257</v>
      </c>
      <c r="D18" s="40">
        <f>INDEX('Last prices'!$3:$3,MATCH(LARGE('Last prices'!$2:$2,1),'Last prices'!$2:$2,0))</f>
        <v>6.35</v>
      </c>
      <c r="E18" s="40">
        <f>INDEX('Last prices'!$3:$3,MATCH(LARGE('Last prices'!$2:$2,2),'Last prices'!$2:$2,0))</f>
        <v>8.16</v>
      </c>
      <c r="F18" s="40">
        <f>INDEX('Last prices'!$3:$3,MATCH(LARGE('Last prices'!$2:$2,3),'Last prices'!$2:$2,0))</f>
        <v>5.24</v>
      </c>
      <c r="H18" s="42">
        <v>8.5</v>
      </c>
      <c r="I18" s="40">
        <f>(Calculator!$I$3*4+Calculator!$C$5+$T$5*1.01)/(H18-Calculator!$I$4-Calculator!$C$6)/$T$2</f>
        <v>0.18992341843725991</v>
      </c>
      <c r="J18" s="40">
        <f t="shared" si="0"/>
        <v>4.5109886588702199</v>
      </c>
      <c r="K18" s="40">
        <f>INDEX('Last prices'!$3:$3,MATCH(LARGE('Last prices'!$2:$2,1),'Last prices'!$2:$2,0))</f>
        <v>6.35</v>
      </c>
      <c r="L18" s="40">
        <f>INDEX('Last prices'!$3:$3,MATCH(LARGE('Last prices'!$2:$2,2),'Last prices'!$2:$2,0))</f>
        <v>8.16</v>
      </c>
      <c r="M18" s="40">
        <f>INDEX('Last prices'!$3:$3,MATCH(LARGE('Last prices'!$2:$2,3),'Last prices'!$2:$2,0))</f>
        <v>5.24</v>
      </c>
      <c r="N18" s="40"/>
      <c r="O18" s="41">
        <f t="shared" si="4"/>
        <v>1008.1524999999999</v>
      </c>
      <c r="P18" s="41">
        <f t="shared" si="1"/>
        <v>267</v>
      </c>
      <c r="Q18" s="41">
        <f t="shared" si="2"/>
        <v>2269.5</v>
      </c>
      <c r="R18" s="41">
        <f>Calculator!$I$3*4+Calculator!$I$4*P18+Calculator!$C$5+Calculator!$C$6*P18</f>
        <v>1261.3475000000001</v>
      </c>
    </row>
    <row r="19" spans="1:18" x14ac:dyDescent="0.25">
      <c r="A19">
        <v>1.8</v>
      </c>
      <c r="B19">
        <f>(Calculator!$I$3*4+Calculator!$C$5+$T$5*1.01)/(A19*$T$2)-Calculator!$I$4-Calculator!$C$6</f>
        <v>0.84987628412951433</v>
      </c>
      <c r="C19" s="40">
        <f t="shared" si="3"/>
        <v>17.020273114331257</v>
      </c>
      <c r="D19" s="40">
        <f>INDEX('Last prices'!$3:$3,MATCH(LARGE('Last prices'!$2:$2,1),'Last prices'!$2:$2,0))</f>
        <v>6.35</v>
      </c>
      <c r="E19" s="40">
        <f>INDEX('Last prices'!$3:$3,MATCH(LARGE('Last prices'!$2:$2,2),'Last prices'!$2:$2,0))</f>
        <v>8.16</v>
      </c>
      <c r="F19" s="40">
        <f>INDEX('Last prices'!$3:$3,MATCH(LARGE('Last prices'!$2:$2,3),'Last prices'!$2:$2,0))</f>
        <v>5.24</v>
      </c>
      <c r="H19" s="42">
        <v>9</v>
      </c>
      <c r="I19" s="40">
        <f>(Calculator!$I$3*4+Calculator!$C$5+$T$5*1.01)/(H19-Calculator!$I$4-Calculator!$C$6)/$T$2</f>
        <v>0.17932205542094617</v>
      </c>
      <c r="J19" s="40">
        <f t="shared" si="0"/>
        <v>4.5109886588702199</v>
      </c>
      <c r="K19" s="40">
        <f>INDEX('Last prices'!$3:$3,MATCH(LARGE('Last prices'!$2:$2,1),'Last prices'!$2:$2,0))</f>
        <v>6.35</v>
      </c>
      <c r="L19" s="40">
        <f>INDEX('Last prices'!$3:$3,MATCH(LARGE('Last prices'!$2:$2,2),'Last prices'!$2:$2,0))</f>
        <v>8.16</v>
      </c>
      <c r="M19" s="40">
        <f>INDEX('Last prices'!$3:$3,MATCH(LARGE('Last prices'!$2:$2,3),'Last prices'!$2:$2,0))</f>
        <v>5.24</v>
      </c>
      <c r="N19" s="40"/>
      <c r="O19" s="41">
        <f t="shared" si="4"/>
        <v>1007.29</v>
      </c>
      <c r="P19" s="41">
        <f t="shared" si="1"/>
        <v>252</v>
      </c>
      <c r="Q19" s="41">
        <f t="shared" si="2"/>
        <v>2268</v>
      </c>
      <c r="R19" s="41">
        <f>Calculator!$I$3*4+Calculator!$I$4*P19+Calculator!$C$5+Calculator!$C$6*P19</f>
        <v>1260.71</v>
      </c>
    </row>
    <row r="20" spans="1:18" x14ac:dyDescent="0.25">
      <c r="A20">
        <v>1.9</v>
      </c>
      <c r="B20">
        <f>(Calculator!$I$3*4+Calculator!$C$5+$T$5*1.01)/(A20*$T$2)-Calculator!$I$4-Calculator!$C$6</f>
        <v>0.80290911128059261</v>
      </c>
      <c r="C20" s="40">
        <f t="shared" si="3"/>
        <v>17.020273114331257</v>
      </c>
      <c r="D20" s="40">
        <f>INDEX('Last prices'!$3:$3,MATCH(LARGE('Last prices'!$2:$2,1),'Last prices'!$2:$2,0))</f>
        <v>6.35</v>
      </c>
      <c r="E20" s="40">
        <f>INDEX('Last prices'!$3:$3,MATCH(LARGE('Last prices'!$2:$2,2),'Last prices'!$2:$2,0))</f>
        <v>8.16</v>
      </c>
      <c r="F20" s="40">
        <f>INDEX('Last prices'!$3:$3,MATCH(LARGE('Last prices'!$2:$2,3),'Last prices'!$2:$2,0))</f>
        <v>5.24</v>
      </c>
      <c r="H20" s="42">
        <v>9.5</v>
      </c>
      <c r="I20" s="40">
        <f>(Calculator!$I$3*4+Calculator!$C$5+$T$5*1.01)/(H20-Calculator!$I$4-Calculator!$C$6)/$T$2</f>
        <v>0.16984164011981237</v>
      </c>
      <c r="J20" s="40">
        <f t="shared" si="0"/>
        <v>4.5109886588702199</v>
      </c>
      <c r="K20" s="40">
        <f>INDEX('Last prices'!$3:$3,MATCH(LARGE('Last prices'!$2:$2,1),'Last prices'!$2:$2,0))</f>
        <v>6.35</v>
      </c>
      <c r="L20" s="40">
        <f>INDEX('Last prices'!$3:$3,MATCH(LARGE('Last prices'!$2:$2,2),'Last prices'!$2:$2,0))</f>
        <v>8.16</v>
      </c>
      <c r="M20" s="40">
        <f>INDEX('Last prices'!$3:$3,MATCH(LARGE('Last prices'!$2:$2,3),'Last prices'!$2:$2,0))</f>
        <v>5.24</v>
      </c>
      <c r="N20" s="40"/>
      <c r="O20" s="41">
        <f t="shared" si="4"/>
        <v>1000.8850000000002</v>
      </c>
      <c r="P20" s="41">
        <f t="shared" si="1"/>
        <v>238</v>
      </c>
      <c r="Q20" s="41">
        <f t="shared" si="2"/>
        <v>2261</v>
      </c>
      <c r="R20" s="41">
        <f>Calculator!$I$3*4+Calculator!$I$4*P20+Calculator!$C$5+Calculator!$C$6*P20</f>
        <v>1260.1149999999998</v>
      </c>
    </row>
    <row r="21" spans="1:18" x14ac:dyDescent="0.25">
      <c r="A21">
        <v>2</v>
      </c>
      <c r="B21">
        <f>(Calculator!$I$3*4+Calculator!$C$5+$T$5*1.01)/(A21*$T$2)-Calculator!$I$4-Calculator!$C$6</f>
        <v>0.76063865571656286</v>
      </c>
      <c r="C21" s="40">
        <f t="shared" si="3"/>
        <v>17.020273114331257</v>
      </c>
      <c r="D21" s="40">
        <f>INDEX('Last prices'!$3:$3,MATCH(LARGE('Last prices'!$2:$2,1),'Last prices'!$2:$2,0))</f>
        <v>6.35</v>
      </c>
      <c r="E21" s="40">
        <f>INDEX('Last prices'!$3:$3,MATCH(LARGE('Last prices'!$2:$2,2),'Last prices'!$2:$2,0))</f>
        <v>8.16</v>
      </c>
      <c r="F21" s="40">
        <f>INDEX('Last prices'!$3:$3,MATCH(LARGE('Last prices'!$2:$2,3),'Last prices'!$2:$2,0))</f>
        <v>5.24</v>
      </c>
      <c r="H21" s="42">
        <v>10</v>
      </c>
      <c r="I21" s="40">
        <f>(Calculator!$I$3*4+Calculator!$C$5+$T$5*1.01)/(H21-Calculator!$I$4-Calculator!$C$6)/$T$2</f>
        <v>0.1613133127223827</v>
      </c>
      <c r="J21" s="40">
        <f t="shared" si="0"/>
        <v>4.5109886588702199</v>
      </c>
      <c r="K21" s="40">
        <f>INDEX('Last prices'!$3:$3,MATCH(LARGE('Last prices'!$2:$2,1),'Last prices'!$2:$2,0))</f>
        <v>6.35</v>
      </c>
      <c r="L21" s="40">
        <f>INDEX('Last prices'!$3:$3,MATCH(LARGE('Last prices'!$2:$2,2),'Last prices'!$2:$2,0))</f>
        <v>8.16</v>
      </c>
      <c r="M21" s="40">
        <f>INDEX('Last prices'!$3:$3,MATCH(LARGE('Last prices'!$2:$2,3),'Last prices'!$2:$2,0))</f>
        <v>5.24</v>
      </c>
      <c r="N21" s="40"/>
      <c r="O21" s="41">
        <f t="shared" si="4"/>
        <v>1000.395</v>
      </c>
      <c r="P21" s="41">
        <f t="shared" si="1"/>
        <v>226</v>
      </c>
      <c r="Q21" s="41">
        <f t="shared" si="2"/>
        <v>2260</v>
      </c>
      <c r="R21" s="41">
        <f>Calculator!$I$3*4+Calculator!$I$4*P21+Calculator!$C$5+Calculator!$C$6*P21</f>
        <v>1259.605</v>
      </c>
    </row>
    <row r="22" spans="1:18" x14ac:dyDescent="0.25">
      <c r="D22" s="40"/>
      <c r="E22" s="40"/>
      <c r="F22" s="40"/>
      <c r="H22" s="40"/>
      <c r="I22" s="40">
        <v>0</v>
      </c>
      <c r="J22" s="40"/>
      <c r="K22" s="40">
        <f>INDEX('Last prices'!$3:$3,MATCH(LARGE('Last prices'!$2:$2,1),'Last prices'!$2:$2,0))</f>
        <v>6.35</v>
      </c>
      <c r="L22" s="40">
        <f>INDEX('Last prices'!$3:$3,MATCH(LARGE('Last prices'!$2:$2,2),'Last prices'!$2:$2,0))</f>
        <v>8.16</v>
      </c>
      <c r="M22" s="40">
        <f>INDEX('Last prices'!$3:$3,MATCH(LARGE('Last prices'!$2:$2,3),'Last prices'!$2:$2,0))</f>
        <v>5.24</v>
      </c>
      <c r="N22" s="40"/>
      <c r="O22" s="41"/>
      <c r="Q22" s="41"/>
      <c r="R22" s="41"/>
    </row>
    <row r="23" spans="1:18" x14ac:dyDescent="0.25">
      <c r="H23" s="40"/>
      <c r="I23" s="40"/>
      <c r="J23" s="40"/>
      <c r="K23" s="40"/>
      <c r="L23" s="40"/>
      <c r="M23" s="40"/>
      <c r="N23" s="40"/>
      <c r="O23" s="41"/>
      <c r="P23" s="40"/>
      <c r="Q23" s="41"/>
      <c r="R23" s="41"/>
    </row>
    <row r="24" spans="1:18" x14ac:dyDescent="0.25">
      <c r="H24" s="40"/>
      <c r="I24" s="40"/>
      <c r="J24" s="40"/>
      <c r="K24" s="40"/>
      <c r="L24" s="40"/>
      <c r="M24" s="40"/>
      <c r="N24" s="40"/>
      <c r="O24" s="40"/>
      <c r="P24" s="40"/>
      <c r="Q24" s="40"/>
      <c r="R24" s="40"/>
    </row>
  </sheetData>
  <sheetProtection algorithmName="SHA-512" hashValue="ilxU9v0ajirEVfIqBMhxn8T6MBwVmwPL37TfCe9YP2W+50fiZAFyYDjf+EIkqwIRzPysmtnQP0WY6uNe13xFuA==" saltValue="79A2kt5CIqdu6kbWxi4Ji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52FE8-E07A-4607-960E-8A3F623F9A11}">
  <sheetPr>
    <tabColor rgb="FF00AFAE"/>
  </sheetPr>
  <dimension ref="B8:J27"/>
  <sheetViews>
    <sheetView showGridLines="0" zoomScale="110" zoomScaleNormal="110" workbookViewId="0"/>
  </sheetViews>
  <sheetFormatPr defaultRowHeight="14.3" x14ac:dyDescent="0.25"/>
  <cols>
    <col min="1" max="1" width="1.75" customWidth="1"/>
    <col min="2" max="2" width="33.125" bestFit="1" customWidth="1"/>
    <col min="3" max="3" width="11.125" customWidth="1"/>
    <col min="4" max="4" width="10.875" bestFit="1" customWidth="1"/>
    <col min="8" max="8" width="28.875" bestFit="1" customWidth="1"/>
    <col min="9" max="9" width="17.625" customWidth="1"/>
    <col min="10" max="10" width="9.75" customWidth="1"/>
    <col min="11" max="11" width="3.5" customWidth="1"/>
    <col min="12" max="12" width="21.25" bestFit="1" customWidth="1"/>
    <col min="13" max="13" width="17.625" customWidth="1"/>
    <col min="14" max="14" width="9.75" customWidth="1"/>
  </cols>
  <sheetData>
    <row r="8" spans="2:10" ht="14.95" thickBot="1" x14ac:dyDescent="0.3"/>
    <row r="9" spans="2:10" x14ac:dyDescent="0.25">
      <c r="H9" s="51" t="s">
        <v>80</v>
      </c>
      <c r="I9" s="52"/>
      <c r="J9" s="53"/>
    </row>
    <row r="10" spans="2:10" x14ac:dyDescent="0.25">
      <c r="H10" s="19" t="s">
        <v>79</v>
      </c>
      <c r="I10" s="50" t="s">
        <v>11</v>
      </c>
      <c r="J10" s="1"/>
    </row>
    <row r="11" spans="2:10" x14ac:dyDescent="0.25">
      <c r="H11" s="19" t="s">
        <v>1</v>
      </c>
      <c r="I11" s="50" t="s">
        <v>5</v>
      </c>
      <c r="J11" s="1"/>
    </row>
    <row r="12" spans="2:10" x14ac:dyDescent="0.25">
      <c r="B12" t="s">
        <v>81</v>
      </c>
      <c r="C12" s="46">
        <f>0.8*I14</f>
        <v>11255.2</v>
      </c>
      <c r="H12" s="49" t="s">
        <v>14</v>
      </c>
      <c r="I12" s="48">
        <v>10</v>
      </c>
      <c r="J12" s="1" t="str">
        <f>IF(H12="Yearly GO quantity","MWh","MW")</f>
        <v>MW</v>
      </c>
    </row>
    <row r="13" spans="2:10" x14ac:dyDescent="0.25">
      <c r="B13" t="s">
        <v>86</v>
      </c>
      <c r="C13" s="46">
        <f>I14*'Last prices'!B3</f>
        <v>73721.56</v>
      </c>
      <c r="H13" s="19" t="s">
        <v>21</v>
      </c>
      <c r="I13" s="47">
        <v>8.16</v>
      </c>
      <c r="J13" s="1" t="s">
        <v>19</v>
      </c>
    </row>
    <row r="14" spans="2:10" x14ac:dyDescent="0.25">
      <c r="B14" t="s">
        <v>87</v>
      </c>
      <c r="C14" s="46">
        <f>I14*'Last prices'!C3</f>
        <v>114803.04000000001</v>
      </c>
      <c r="H14" s="19" t="s">
        <v>24</v>
      </c>
      <c r="I14" s="16">
        <f>INT(IF(H12="Yearly GO quantity",I12,I12*INDEX('Hungarian capacity factors'!$15:$15,MATCH('10 MW business case'!$I$11,'Hungarian capacity factors'!1:1,0))))</f>
        <v>14069</v>
      </c>
      <c r="J14" s="1" t="s">
        <v>18</v>
      </c>
    </row>
    <row r="15" spans="2:10" x14ac:dyDescent="0.25">
      <c r="B15" t="s">
        <v>82</v>
      </c>
      <c r="C15" s="46">
        <f>-I16</f>
        <v>-1000</v>
      </c>
      <c r="H15" s="19" t="s">
        <v>78</v>
      </c>
      <c r="I15" s="15">
        <f>I14*I13</f>
        <v>114803.04000000001</v>
      </c>
      <c r="J15" s="1" t="s">
        <v>0</v>
      </c>
    </row>
    <row r="16" spans="2:10" x14ac:dyDescent="0.25">
      <c r="B16" t="s">
        <v>76</v>
      </c>
      <c r="C16" s="46">
        <f>-I14*Calculator!I4</f>
        <v>-422.07</v>
      </c>
      <c r="H16" s="19" t="s">
        <v>77</v>
      </c>
      <c r="I16" s="15">
        <f>Calculator!I3*4</f>
        <v>1000</v>
      </c>
      <c r="J16" s="1" t="s">
        <v>0</v>
      </c>
    </row>
    <row r="17" spans="2:10" x14ac:dyDescent="0.25">
      <c r="B17" t="s">
        <v>85</v>
      </c>
      <c r="C17" s="46">
        <f>-I18</f>
        <v>-250</v>
      </c>
      <c r="H17" s="19" t="s">
        <v>76</v>
      </c>
      <c r="I17" s="15">
        <f>Calculator!I4*I14</f>
        <v>422.07</v>
      </c>
      <c r="J17" s="1" t="s">
        <v>0</v>
      </c>
    </row>
    <row r="18" spans="2:10" x14ac:dyDescent="0.25">
      <c r="B18" t="s">
        <v>83</v>
      </c>
      <c r="C18" s="46">
        <f>-I14*Calculator!C6</f>
        <v>-175.86250000000001</v>
      </c>
      <c r="H18" s="45" t="s">
        <v>75</v>
      </c>
      <c r="I18" s="44">
        <f>Calculator!C5</f>
        <v>250</v>
      </c>
      <c r="J18" s="43" t="s">
        <v>0</v>
      </c>
    </row>
    <row r="19" spans="2:10" x14ac:dyDescent="0.25">
      <c r="B19" t="s">
        <v>84</v>
      </c>
      <c r="C19" s="46">
        <f>SUM(C15:C18)</f>
        <v>-1847.9324999999999</v>
      </c>
      <c r="H19" s="45" t="s">
        <v>74</v>
      </c>
      <c r="I19" s="44">
        <f>I14*Calculator!C6</f>
        <v>175.86250000000001</v>
      </c>
      <c r="J19" s="43" t="s">
        <v>0</v>
      </c>
    </row>
    <row r="20" spans="2:10" x14ac:dyDescent="0.25">
      <c r="H20" s="45" t="s">
        <v>73</v>
      </c>
      <c r="I20" s="44">
        <f>I16+I17+I18+I19</f>
        <v>1847.9324999999999</v>
      </c>
      <c r="J20" s="43" t="s">
        <v>0</v>
      </c>
    </row>
    <row r="21" spans="2:10" ht="14.95" thickBot="1" x14ac:dyDescent="0.3">
      <c r="H21" s="20" t="s">
        <v>33</v>
      </c>
      <c r="I21" s="21">
        <f>I15-I20</f>
        <v>112955.10750000001</v>
      </c>
      <c r="J21" s="2" t="s">
        <v>0</v>
      </c>
    </row>
    <row r="27" spans="2:10" x14ac:dyDescent="0.25">
      <c r="B27" s="30"/>
    </row>
  </sheetData>
  <sheetProtection algorithmName="SHA-512" hashValue="L2PtyZbeV4lSG1KL8ph3/WQQ9wNLVzN36FOLBk9wT8aO5oZrZfVPYZLLiWSCKBOvuWpDZGWnknYAPRye1CXK1A==" saltValue="BuzjAG6Mb64Osp+CkeqKUA==" spinCount="100000" sheet="1" objects="1" scenarios="1"/>
  <mergeCells count="1">
    <mergeCell ref="H9:J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BFFA-1EB6-4D8D-B71A-8779ECA5155A}">
  <sheetPr>
    <tabColor rgb="FF0091AE"/>
  </sheetPr>
  <dimension ref="B8:J27"/>
  <sheetViews>
    <sheetView showGridLines="0" zoomScale="70" zoomScaleNormal="70" workbookViewId="0"/>
  </sheetViews>
  <sheetFormatPr defaultRowHeight="14.3" x14ac:dyDescent="0.25"/>
  <cols>
    <col min="1" max="1" width="1.75" customWidth="1"/>
    <col min="2" max="2" width="33.125" bestFit="1" customWidth="1"/>
    <col min="3" max="3" width="11.125" customWidth="1"/>
    <col min="4" max="4" width="10.875" bestFit="1" customWidth="1"/>
    <col min="8" max="8" width="28.875" bestFit="1" customWidth="1"/>
    <col min="9" max="9" width="17.625" customWidth="1"/>
    <col min="10" max="10" width="9.75" customWidth="1"/>
    <col min="11" max="11" width="3.5" customWidth="1"/>
    <col min="12" max="12" width="21.25" bestFit="1" customWidth="1"/>
    <col min="13" max="13" width="17.625" customWidth="1"/>
    <col min="14" max="14" width="9.75" customWidth="1"/>
  </cols>
  <sheetData>
    <row r="8" spans="2:10" ht="14.95" thickBot="1" x14ac:dyDescent="0.3"/>
    <row r="9" spans="2:10" x14ac:dyDescent="0.25">
      <c r="H9" s="51" t="s">
        <v>80</v>
      </c>
      <c r="I9" s="52"/>
      <c r="J9" s="53"/>
    </row>
    <row r="10" spans="2:10" x14ac:dyDescent="0.25">
      <c r="H10" s="19" t="s">
        <v>79</v>
      </c>
      <c r="I10" s="50" t="s">
        <v>11</v>
      </c>
      <c r="J10" s="1"/>
    </row>
    <row r="11" spans="2:10" x14ac:dyDescent="0.25">
      <c r="H11" s="19" t="s">
        <v>1</v>
      </c>
      <c r="I11" s="50" t="s">
        <v>5</v>
      </c>
      <c r="J11" s="1"/>
    </row>
    <row r="12" spans="2:10" x14ac:dyDescent="0.25">
      <c r="B12" t="s">
        <v>88</v>
      </c>
      <c r="C12" s="46">
        <f>0.8*I14</f>
        <v>11255.2</v>
      </c>
      <c r="H12" s="49" t="s">
        <v>14</v>
      </c>
      <c r="I12" s="48">
        <v>10</v>
      </c>
      <c r="J12" s="1" t="str">
        <f>IF(H12="Yearly GO quantity","MWh","MW")</f>
        <v>MW</v>
      </c>
    </row>
    <row r="13" spans="2:10" x14ac:dyDescent="0.25">
      <c r="B13" t="s">
        <v>89</v>
      </c>
      <c r="C13" s="46">
        <f>I14*'Last prices'!B3</f>
        <v>73721.56</v>
      </c>
      <c r="H13" s="19" t="s">
        <v>21</v>
      </c>
      <c r="I13" s="47">
        <v>8.16</v>
      </c>
      <c r="J13" s="1" t="s">
        <v>19</v>
      </c>
    </row>
    <row r="14" spans="2:10" x14ac:dyDescent="0.25">
      <c r="B14" t="s">
        <v>90</v>
      </c>
      <c r="C14" s="46">
        <f>I14*'Last prices'!C3</f>
        <v>114803.04000000001</v>
      </c>
      <c r="H14" s="19" t="s">
        <v>24</v>
      </c>
      <c r="I14" s="16">
        <f>INT(IF(H12="Yearly GO quantity",I12,I12*INDEX('Hungarian capacity factors'!$15:$15,MATCH(HUN!$I$11,'Hungarian capacity factors'!1:1,0))))</f>
        <v>14069</v>
      </c>
      <c r="J14" s="1" t="s">
        <v>18</v>
      </c>
    </row>
    <row r="15" spans="2:10" x14ac:dyDescent="0.25">
      <c r="B15" t="s">
        <v>91</v>
      </c>
      <c r="C15" s="46">
        <f>-I16</f>
        <v>-1000</v>
      </c>
      <c r="H15" s="19" t="s">
        <v>78</v>
      </c>
      <c r="I15" s="15">
        <f>I14*I13</f>
        <v>114803.04000000001</v>
      </c>
      <c r="J15" s="1" t="s">
        <v>0</v>
      </c>
    </row>
    <row r="16" spans="2:10" x14ac:dyDescent="0.25">
      <c r="B16" t="s">
        <v>92</v>
      </c>
      <c r="C16" s="46">
        <f>-I14*Calculator!I4</f>
        <v>-422.07</v>
      </c>
      <c r="H16" s="19" t="s">
        <v>77</v>
      </c>
      <c r="I16" s="15">
        <f>Calculator!I3*4</f>
        <v>1000</v>
      </c>
      <c r="J16" s="1" t="s">
        <v>0</v>
      </c>
    </row>
    <row r="17" spans="2:10" x14ac:dyDescent="0.25">
      <c r="B17" t="s">
        <v>93</v>
      </c>
      <c r="C17" s="46">
        <f>-I18</f>
        <v>-250</v>
      </c>
      <c r="H17" s="19" t="s">
        <v>76</v>
      </c>
      <c r="I17" s="15">
        <f>Calculator!I4*I14</f>
        <v>422.07</v>
      </c>
      <c r="J17" s="1" t="s">
        <v>0</v>
      </c>
    </row>
    <row r="18" spans="2:10" x14ac:dyDescent="0.25">
      <c r="B18" t="s">
        <v>94</v>
      </c>
      <c r="C18" s="46">
        <f>-I14*Calculator!C6</f>
        <v>-175.86250000000001</v>
      </c>
      <c r="H18" s="45" t="s">
        <v>75</v>
      </c>
      <c r="I18" s="44">
        <f>Calculator!C5</f>
        <v>250</v>
      </c>
      <c r="J18" s="43" t="s">
        <v>0</v>
      </c>
    </row>
    <row r="19" spans="2:10" x14ac:dyDescent="0.25">
      <c r="B19" t="s">
        <v>95</v>
      </c>
      <c r="C19" s="46">
        <f>SUM(C15:C18)</f>
        <v>-1847.9324999999999</v>
      </c>
      <c r="H19" s="45" t="s">
        <v>74</v>
      </c>
      <c r="I19" s="44">
        <f>I14*Calculator!C6</f>
        <v>175.86250000000001</v>
      </c>
      <c r="J19" s="43" t="s">
        <v>0</v>
      </c>
    </row>
    <row r="20" spans="2:10" x14ac:dyDescent="0.25">
      <c r="H20" s="45" t="s">
        <v>73</v>
      </c>
      <c r="I20" s="44">
        <f>I16+I17+I18+I19</f>
        <v>1847.9324999999999</v>
      </c>
      <c r="J20" s="43" t="s">
        <v>0</v>
      </c>
    </row>
    <row r="21" spans="2:10" ht="14.95" thickBot="1" x14ac:dyDescent="0.3">
      <c r="H21" s="20" t="s">
        <v>33</v>
      </c>
      <c r="I21" s="21">
        <f>I15-I20</f>
        <v>112955.10750000001</v>
      </c>
      <c r="J21" s="2" t="s">
        <v>0</v>
      </c>
    </row>
    <row r="27" spans="2:10" x14ac:dyDescent="0.25">
      <c r="B27" s="30"/>
    </row>
  </sheetData>
  <sheetProtection algorithmName="SHA-512" hashValue="5rEthD9sgl50TYHHJ9iKW4N4g+o3YCXOdKt5u44oCKu3o9txTApYoFhZa05kIf0eFvpaPgo9S9zuTH/RLUtS7g==" saltValue="QHaxBMoME/vP/flP+mD5qw==" spinCount="100000" sheet="1" objects="1" scenarios="1"/>
  <mergeCells count="1">
    <mergeCell ref="H9:J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EC3A8-C655-4BAF-903C-337E3055E911}">
  <dimension ref="A1"/>
  <sheetViews>
    <sheetView zoomScale="70" zoomScaleNormal="70" workbookViewId="0"/>
  </sheetViews>
  <sheetFormatPr defaultRowHeight="14.3" x14ac:dyDescent="0.25"/>
  <sheetData/>
  <sheetProtection algorithmName="SHA-512" hashValue="NTunpiwWAr92CU9dPxJhjKn1gkPimnen21s12o+xp81aUgMDTcrBn3Wc5lNJA8QHuuTQ5SoR6HWw5ROX38MoAA==" saltValue="Ai+GdAz6sQeAQPoNcI060A=="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248E-2DFB-43B7-B450-1B47201C5575}">
  <sheetPr codeName="Sheet3"/>
  <dimension ref="A1:T30"/>
  <sheetViews>
    <sheetView workbookViewId="0">
      <pane xSplit="2" ySplit="2" topLeftCell="C7" activePane="bottomRight" state="frozen"/>
      <selection pane="topRight" activeCell="C1" sqref="C1"/>
      <selection pane="bottomLeft" activeCell="A3" sqref="A3"/>
      <selection pane="bottomRight" sqref="A1:XFD1048576"/>
    </sheetView>
  </sheetViews>
  <sheetFormatPr defaultRowHeight="14.3" x14ac:dyDescent="0.25"/>
  <cols>
    <col min="1" max="2" width="9" style="5"/>
    <col min="3" max="11" width="10.625" style="5" customWidth="1"/>
    <col min="12" max="12" width="9" style="5"/>
    <col min="13" max="20" width="10.625" style="5" customWidth="1"/>
    <col min="21" max="16384" width="9" style="5"/>
  </cols>
  <sheetData>
    <row r="1" spans="1:20" x14ac:dyDescent="0.25">
      <c r="C1" s="60" t="s">
        <v>44</v>
      </c>
      <c r="D1" s="60"/>
      <c r="E1" s="60"/>
      <c r="F1" s="60"/>
      <c r="G1" s="60"/>
      <c r="H1" s="60"/>
      <c r="I1" s="60"/>
      <c r="J1" s="60"/>
      <c r="K1" s="60"/>
      <c r="M1" s="60" t="s">
        <v>43</v>
      </c>
      <c r="N1" s="60"/>
      <c r="O1" s="60"/>
      <c r="P1" s="60"/>
      <c r="Q1" s="60"/>
      <c r="R1" s="60"/>
      <c r="S1" s="60"/>
      <c r="T1" s="60"/>
    </row>
    <row r="2" spans="1:20" x14ac:dyDescent="0.25">
      <c r="A2" s="61" t="s">
        <v>15</v>
      </c>
      <c r="B2" s="61"/>
      <c r="C2" s="4" t="s">
        <v>2</v>
      </c>
      <c r="D2" s="4" t="s">
        <v>12</v>
      </c>
      <c r="E2" s="4" t="s">
        <v>13</v>
      </c>
      <c r="F2" s="4" t="s">
        <v>3</v>
      </c>
      <c r="G2" s="4" t="s">
        <v>4</v>
      </c>
      <c r="H2" s="4" t="s">
        <v>5</v>
      </c>
      <c r="I2" s="4" t="s">
        <v>6</v>
      </c>
      <c r="J2" s="4" t="s">
        <v>7</v>
      </c>
      <c r="K2" s="4" t="s">
        <v>45</v>
      </c>
      <c r="M2" s="4" t="s">
        <v>2</v>
      </c>
      <c r="N2" s="4" t="s">
        <v>12</v>
      </c>
      <c r="O2" s="4" t="s">
        <v>13</v>
      </c>
      <c r="P2" s="4" t="s">
        <v>3</v>
      </c>
      <c r="Q2" s="4" t="s">
        <v>4</v>
      </c>
      <c r="R2" s="4" t="s">
        <v>5</v>
      </c>
      <c r="S2" s="4" t="s">
        <v>6</v>
      </c>
      <c r="T2" s="4" t="s">
        <v>7</v>
      </c>
    </row>
    <row r="3" spans="1:20" x14ac:dyDescent="0.25">
      <c r="A3" s="7">
        <v>44378</v>
      </c>
      <c r="B3" s="12">
        <f>MONTH(A3)</f>
        <v>7</v>
      </c>
      <c r="C3" s="8">
        <v>7568</v>
      </c>
      <c r="D3" s="8">
        <v>80722</v>
      </c>
      <c r="E3" s="8">
        <v>561</v>
      </c>
      <c r="F3" s="8">
        <v>239</v>
      </c>
      <c r="G3" s="8">
        <v>1500</v>
      </c>
      <c r="H3" s="8">
        <v>262882</v>
      </c>
      <c r="I3" s="8">
        <v>26181</v>
      </c>
      <c r="J3" s="8">
        <v>23471</v>
      </c>
      <c r="K3" s="8">
        <v>403124</v>
      </c>
      <c r="M3" s="10">
        <v>27.886499999999991</v>
      </c>
      <c r="N3" s="10">
        <v>227.60000000000002</v>
      </c>
      <c r="O3" s="10">
        <v>2.9509999999999956</v>
      </c>
      <c r="P3" s="10">
        <v>2.7</v>
      </c>
      <c r="Q3" s="10">
        <v>7.4589999999999987</v>
      </c>
      <c r="R3" s="10">
        <v>1586.7161500000002</v>
      </c>
      <c r="S3" s="10">
        <v>206.94999999999982</v>
      </c>
      <c r="T3" s="10">
        <v>55.107999999999997</v>
      </c>
    </row>
    <row r="4" spans="1:20" x14ac:dyDescent="0.25">
      <c r="A4" s="7">
        <v>44409</v>
      </c>
      <c r="B4" s="12">
        <f t="shared" ref="B4:B28" si="0">MONTH(A4)</f>
        <v>8</v>
      </c>
      <c r="C4" s="8">
        <v>7295</v>
      </c>
      <c r="D4" s="8">
        <v>70031</v>
      </c>
      <c r="E4" s="8">
        <v>574</v>
      </c>
      <c r="F4" s="8">
        <v>150</v>
      </c>
      <c r="G4" s="8">
        <v>1710</v>
      </c>
      <c r="H4" s="8">
        <v>237915</v>
      </c>
      <c r="I4" s="8">
        <v>19848</v>
      </c>
      <c r="J4" s="8">
        <v>16382</v>
      </c>
      <c r="K4" s="8">
        <v>353905</v>
      </c>
      <c r="M4" s="10">
        <v>26.00599999999999</v>
      </c>
      <c r="N4" s="10">
        <v>227.60000000000002</v>
      </c>
      <c r="O4" s="10">
        <v>2.9509999999999956</v>
      </c>
      <c r="P4" s="10">
        <v>2.7</v>
      </c>
      <c r="Q4" s="10">
        <v>7.4589999999999987</v>
      </c>
      <c r="R4" s="10">
        <v>1614.4755500000003</v>
      </c>
      <c r="S4" s="10">
        <v>206.94999999999982</v>
      </c>
      <c r="T4" s="10">
        <v>55.107999999999997</v>
      </c>
    </row>
    <row r="5" spans="1:20" x14ac:dyDescent="0.25">
      <c r="A5" s="7">
        <v>44440</v>
      </c>
      <c r="B5" s="12">
        <f t="shared" si="0"/>
        <v>9</v>
      </c>
      <c r="C5" s="8">
        <v>7340</v>
      </c>
      <c r="D5" s="8">
        <v>61382</v>
      </c>
      <c r="E5" s="8">
        <v>409</v>
      </c>
      <c r="F5" s="8">
        <v>256</v>
      </c>
      <c r="G5" s="8">
        <v>1790</v>
      </c>
      <c r="H5" s="8">
        <v>200747</v>
      </c>
      <c r="I5" s="8">
        <v>18453</v>
      </c>
      <c r="J5" s="8">
        <v>15867</v>
      </c>
      <c r="K5" s="8">
        <v>306244</v>
      </c>
      <c r="M5" s="10">
        <v>24.80599999999999</v>
      </c>
      <c r="N5" s="10">
        <v>227.60000000000002</v>
      </c>
      <c r="O5" s="10">
        <v>2.9509999999999956</v>
      </c>
      <c r="P5" s="10">
        <v>2.7</v>
      </c>
      <c r="Q5" s="10">
        <v>7.4589999999999987</v>
      </c>
      <c r="R5" s="10">
        <v>1645.7799000000005</v>
      </c>
      <c r="S5" s="10">
        <v>205.94999999999982</v>
      </c>
      <c r="T5" s="10">
        <v>55.107999999999997</v>
      </c>
    </row>
    <row r="6" spans="1:20" x14ac:dyDescent="0.25">
      <c r="A6" s="7">
        <v>44470</v>
      </c>
      <c r="B6" s="12">
        <f t="shared" si="0"/>
        <v>10</v>
      </c>
      <c r="C6" s="8">
        <v>8017</v>
      </c>
      <c r="D6" s="8">
        <v>72820</v>
      </c>
      <c r="E6" s="8">
        <v>240</v>
      </c>
      <c r="F6" s="8">
        <v>267</v>
      </c>
      <c r="G6" s="8">
        <v>1362</v>
      </c>
      <c r="H6" s="8">
        <v>177106</v>
      </c>
      <c r="I6" s="8">
        <v>35781</v>
      </c>
      <c r="J6" s="8">
        <v>12074</v>
      </c>
      <c r="K6" s="8">
        <v>307667</v>
      </c>
      <c r="M6" s="10">
        <v>24.80599999999999</v>
      </c>
      <c r="N6" s="10">
        <v>227.60000000000002</v>
      </c>
      <c r="O6" s="10">
        <v>2.7859999999999956</v>
      </c>
      <c r="P6" s="10">
        <v>2.7</v>
      </c>
      <c r="Q6" s="10">
        <v>7.4589999999999987</v>
      </c>
      <c r="R6" s="10">
        <v>1670.9038500000001</v>
      </c>
      <c r="S6" s="10">
        <v>203.94999999999982</v>
      </c>
      <c r="T6" s="10">
        <v>52.908000000000001</v>
      </c>
    </row>
    <row r="7" spans="1:20" x14ac:dyDescent="0.25">
      <c r="A7" s="7">
        <v>44501</v>
      </c>
      <c r="B7" s="12">
        <f t="shared" si="0"/>
        <v>11</v>
      </c>
      <c r="C7" s="8">
        <v>7045</v>
      </c>
      <c r="D7" s="8">
        <v>70117</v>
      </c>
      <c r="E7" s="8">
        <v>369</v>
      </c>
      <c r="F7" s="8">
        <v>502</v>
      </c>
      <c r="G7" s="8">
        <v>1767</v>
      </c>
      <c r="H7" s="8">
        <v>88174</v>
      </c>
      <c r="I7" s="8">
        <v>29962</v>
      </c>
      <c r="J7" s="8">
        <v>14958</v>
      </c>
      <c r="K7" s="8">
        <v>212894</v>
      </c>
      <c r="M7" s="10">
        <v>24.80599999999999</v>
      </c>
      <c r="N7" s="10">
        <v>227.60000000000002</v>
      </c>
      <c r="O7" s="10">
        <v>2.6209999999999956</v>
      </c>
      <c r="P7" s="10">
        <v>2.7</v>
      </c>
      <c r="Q7" s="10">
        <v>7.4589999999999987</v>
      </c>
      <c r="R7" s="10">
        <v>1713.0400500000003</v>
      </c>
      <c r="S7" s="10">
        <v>202.94999999999982</v>
      </c>
      <c r="T7" s="10">
        <v>50.707999999999998</v>
      </c>
    </row>
    <row r="8" spans="1:20" x14ac:dyDescent="0.25">
      <c r="A8" s="7">
        <v>44531</v>
      </c>
      <c r="B8" s="12">
        <f t="shared" si="0"/>
        <v>12</v>
      </c>
      <c r="C8" s="8">
        <v>7345</v>
      </c>
      <c r="D8" s="8">
        <v>58648</v>
      </c>
      <c r="E8" s="8">
        <v>308</v>
      </c>
      <c r="F8" s="8">
        <v>815</v>
      </c>
      <c r="G8" s="8">
        <v>2020</v>
      </c>
      <c r="H8" s="8">
        <v>60230</v>
      </c>
      <c r="I8" s="8">
        <v>36326</v>
      </c>
      <c r="J8" s="8">
        <v>16374</v>
      </c>
      <c r="K8" s="8">
        <v>182066</v>
      </c>
      <c r="M8" s="10">
        <v>22.872499999999988</v>
      </c>
      <c r="N8" s="10">
        <v>211.75000000000003</v>
      </c>
      <c r="O8" s="10">
        <v>2.6209999999999956</v>
      </c>
      <c r="P8" s="10">
        <v>2.7</v>
      </c>
      <c r="Q8" s="10">
        <v>7.4589999999999987</v>
      </c>
      <c r="R8" s="10">
        <v>1748.2261000000003</v>
      </c>
      <c r="S8" s="10">
        <v>201.94999999999982</v>
      </c>
      <c r="T8" s="10">
        <v>50.615499999999997</v>
      </c>
    </row>
    <row r="9" spans="1:20" x14ac:dyDescent="0.25">
      <c r="A9" s="7">
        <v>44562</v>
      </c>
      <c r="B9" s="12">
        <f t="shared" si="0"/>
        <v>1</v>
      </c>
      <c r="C9" s="8">
        <v>2211</v>
      </c>
      <c r="D9" s="8">
        <v>0</v>
      </c>
      <c r="E9" s="8">
        <v>154</v>
      </c>
      <c r="F9" s="8">
        <v>772</v>
      </c>
      <c r="G9" s="8">
        <v>1858</v>
      </c>
      <c r="H9" s="8">
        <v>101858</v>
      </c>
      <c r="I9" s="8">
        <v>52488</v>
      </c>
      <c r="J9" s="8">
        <v>10712</v>
      </c>
      <c r="K9" s="8">
        <v>170053</v>
      </c>
      <c r="M9" s="10">
        <v>14.59249999999999</v>
      </c>
      <c r="N9" s="10">
        <v>97.950000000000031</v>
      </c>
      <c r="O9" s="10">
        <v>2.2959999999999958</v>
      </c>
      <c r="P9" s="10">
        <v>2.7</v>
      </c>
      <c r="Q9" s="10">
        <v>7.4589999999999987</v>
      </c>
      <c r="R9" s="10">
        <v>1745.1131000000003</v>
      </c>
      <c r="S9" s="10">
        <v>200.94999999999982</v>
      </c>
      <c r="T9" s="10">
        <v>49.202500000000001</v>
      </c>
    </row>
    <row r="10" spans="1:20" x14ac:dyDescent="0.25">
      <c r="A10" s="7">
        <v>44593</v>
      </c>
      <c r="B10" s="12">
        <f t="shared" si="0"/>
        <v>2</v>
      </c>
      <c r="C10" s="8">
        <v>803</v>
      </c>
      <c r="D10" s="8">
        <v>0</v>
      </c>
      <c r="E10" s="8">
        <v>104</v>
      </c>
      <c r="F10" s="8">
        <v>318</v>
      </c>
      <c r="G10" s="8">
        <v>1682</v>
      </c>
      <c r="H10" s="8">
        <v>146053</v>
      </c>
      <c r="I10" s="8">
        <v>53671</v>
      </c>
      <c r="J10" s="8">
        <v>12921</v>
      </c>
      <c r="K10" s="8">
        <v>215552</v>
      </c>
      <c r="M10" s="10">
        <v>7.2459999999999898</v>
      </c>
      <c r="N10" s="10">
        <v>2.8421709430404007E-14</v>
      </c>
      <c r="O10" s="10">
        <v>1.9709999999999956</v>
      </c>
      <c r="P10" s="10">
        <v>2.7</v>
      </c>
      <c r="Q10" s="10">
        <v>7.4589999999999987</v>
      </c>
      <c r="R10" s="10">
        <v>1735.5788000000002</v>
      </c>
      <c r="S10" s="10">
        <v>200.94999999999982</v>
      </c>
      <c r="T10" s="10">
        <v>47.881999999999998</v>
      </c>
    </row>
    <row r="11" spans="1:20" x14ac:dyDescent="0.25">
      <c r="A11" s="7">
        <v>44621</v>
      </c>
      <c r="B11" s="12">
        <f t="shared" si="0"/>
        <v>3</v>
      </c>
      <c r="C11" s="8">
        <v>580</v>
      </c>
      <c r="D11" s="8">
        <v>0</v>
      </c>
      <c r="E11" s="8">
        <v>210</v>
      </c>
      <c r="F11" s="8">
        <v>0</v>
      </c>
      <c r="G11" s="8">
        <v>0</v>
      </c>
      <c r="H11" s="8">
        <v>248304</v>
      </c>
      <c r="I11" s="8">
        <v>25031</v>
      </c>
      <c r="J11" s="8">
        <v>19547</v>
      </c>
      <c r="K11" s="8">
        <v>293672</v>
      </c>
      <c r="M11" s="10">
        <v>6.2459999999999898</v>
      </c>
      <c r="N11" s="10">
        <v>2.8421709430404007E-14</v>
      </c>
      <c r="O11" s="10">
        <v>1.7229999999999956</v>
      </c>
      <c r="P11" s="10">
        <v>2.7</v>
      </c>
      <c r="Q11" s="10">
        <v>3.7294999999999994</v>
      </c>
      <c r="R11" s="10">
        <v>1736.1010000000001</v>
      </c>
      <c r="S11" s="10">
        <v>200.94999999999982</v>
      </c>
      <c r="T11" s="10">
        <v>47.881999999999998</v>
      </c>
    </row>
    <row r="12" spans="1:20" x14ac:dyDescent="0.25">
      <c r="A12" s="7">
        <v>44652</v>
      </c>
      <c r="B12" s="12">
        <f t="shared" si="0"/>
        <v>4</v>
      </c>
      <c r="C12" s="8">
        <v>649</v>
      </c>
      <c r="D12" s="8">
        <v>0</v>
      </c>
      <c r="E12" s="8">
        <v>1</v>
      </c>
      <c r="F12" s="8">
        <v>0</v>
      </c>
      <c r="G12" s="8">
        <v>0</v>
      </c>
      <c r="H12" s="8">
        <v>252411</v>
      </c>
      <c r="I12" s="8">
        <v>40679</v>
      </c>
      <c r="J12" s="8">
        <v>7358</v>
      </c>
      <c r="K12" s="8">
        <v>301098</v>
      </c>
      <c r="L12" s="7"/>
      <c r="M12" s="11">
        <v>6.0459999999999896</v>
      </c>
      <c r="N12" s="11">
        <v>2.8421709430404007E-14</v>
      </c>
      <c r="O12" s="10">
        <v>0.98699999999999566</v>
      </c>
      <c r="P12" s="10">
        <v>2.7</v>
      </c>
      <c r="Q12" s="10">
        <v>0</v>
      </c>
      <c r="R12" s="10">
        <v>1749.3722500000003</v>
      </c>
      <c r="S12" s="10">
        <v>200.94999999999982</v>
      </c>
      <c r="T12" s="10">
        <v>47.881999999999998</v>
      </c>
    </row>
    <row r="13" spans="1:20" x14ac:dyDescent="0.25">
      <c r="A13" s="7">
        <v>44682</v>
      </c>
      <c r="B13" s="12">
        <f t="shared" si="0"/>
        <v>5</v>
      </c>
      <c r="C13" s="8">
        <v>659</v>
      </c>
      <c r="D13" s="8">
        <v>0</v>
      </c>
      <c r="E13" s="8">
        <v>59</v>
      </c>
      <c r="F13" s="8">
        <v>0</v>
      </c>
      <c r="G13" s="8">
        <v>0</v>
      </c>
      <c r="H13" s="8">
        <v>296427</v>
      </c>
      <c r="I13" s="8">
        <v>18957</v>
      </c>
      <c r="J13" s="8">
        <v>15326</v>
      </c>
      <c r="K13" s="8">
        <v>331428</v>
      </c>
      <c r="L13" s="7"/>
      <c r="M13" s="11">
        <v>5.8459999999999894</v>
      </c>
      <c r="N13" s="11">
        <v>2.8421709430404007E-14</v>
      </c>
      <c r="O13" s="10">
        <v>0.49899999999999567</v>
      </c>
      <c r="P13" s="10">
        <v>2.7</v>
      </c>
      <c r="Q13" s="10">
        <v>0</v>
      </c>
      <c r="R13" s="10">
        <v>1677.5922500000004</v>
      </c>
      <c r="S13" s="10">
        <v>200.64999999999981</v>
      </c>
      <c r="T13" s="10">
        <v>47.881999999999998</v>
      </c>
    </row>
    <row r="14" spans="1:20" x14ac:dyDescent="0.25">
      <c r="A14" s="7">
        <v>44713</v>
      </c>
      <c r="B14" s="12">
        <f t="shared" si="0"/>
        <v>6</v>
      </c>
      <c r="C14" s="8">
        <v>244</v>
      </c>
      <c r="D14" s="8">
        <v>0</v>
      </c>
      <c r="E14" s="8">
        <v>1</v>
      </c>
      <c r="F14" s="8">
        <v>0</v>
      </c>
      <c r="G14" s="8">
        <v>0</v>
      </c>
      <c r="H14" s="8">
        <v>302605</v>
      </c>
      <c r="I14" s="8">
        <v>24315</v>
      </c>
      <c r="J14" s="8">
        <v>12969</v>
      </c>
      <c r="K14" s="8">
        <v>340134</v>
      </c>
      <c r="L14" s="7"/>
      <c r="M14" s="11">
        <v>5.1309999999999896</v>
      </c>
      <c r="N14" s="11">
        <v>2.8421709430404007E-14</v>
      </c>
      <c r="O14" s="10">
        <v>0.49899999999999567</v>
      </c>
      <c r="P14" s="10">
        <v>2.7</v>
      </c>
      <c r="Q14" s="10">
        <v>0</v>
      </c>
      <c r="R14" s="10">
        <v>1543.6880000000006</v>
      </c>
      <c r="S14" s="10">
        <v>200.34999999999982</v>
      </c>
      <c r="T14" s="10">
        <v>47.881999999999998</v>
      </c>
    </row>
    <row r="15" spans="1:20" x14ac:dyDescent="0.25">
      <c r="A15" s="7">
        <v>44743</v>
      </c>
      <c r="B15" s="12">
        <f t="shared" si="0"/>
        <v>7</v>
      </c>
      <c r="C15" s="8">
        <v>673</v>
      </c>
      <c r="D15" s="8">
        <v>0</v>
      </c>
      <c r="E15" s="8">
        <v>94</v>
      </c>
      <c r="F15" s="8">
        <v>656</v>
      </c>
      <c r="G15" s="8">
        <v>0</v>
      </c>
      <c r="H15" s="8">
        <v>243023</v>
      </c>
      <c r="I15" s="8">
        <v>20488</v>
      </c>
      <c r="J15" s="8">
        <v>17473</v>
      </c>
      <c r="K15" s="8">
        <v>282407</v>
      </c>
      <c r="L15" s="7"/>
      <c r="M15" s="11">
        <v>4.4159999999999897</v>
      </c>
      <c r="N15" s="11">
        <v>2.8421709430404007E-14</v>
      </c>
      <c r="O15" s="10">
        <v>0.49899999999999567</v>
      </c>
      <c r="P15" s="10">
        <v>2.7</v>
      </c>
      <c r="Q15" s="10">
        <v>0</v>
      </c>
      <c r="R15" s="10">
        <v>1491.8107000000005</v>
      </c>
      <c r="S15" s="10">
        <v>187.09999999999982</v>
      </c>
      <c r="T15" s="10">
        <v>47.881999999999998</v>
      </c>
    </row>
    <row r="16" spans="1:20" x14ac:dyDescent="0.25">
      <c r="A16" s="7">
        <v>44774</v>
      </c>
      <c r="B16" s="12">
        <f t="shared" si="0"/>
        <v>8</v>
      </c>
      <c r="C16" s="8">
        <v>669</v>
      </c>
      <c r="D16" s="8">
        <v>0</v>
      </c>
      <c r="E16" s="8">
        <v>48</v>
      </c>
      <c r="F16" s="8">
        <v>621</v>
      </c>
      <c r="G16" s="8">
        <v>0</v>
      </c>
      <c r="H16" s="8">
        <v>230644</v>
      </c>
      <c r="I16" s="8">
        <v>18631</v>
      </c>
      <c r="J16" s="8">
        <v>11163</v>
      </c>
      <c r="K16" s="8">
        <v>261776</v>
      </c>
      <c r="L16" s="7"/>
      <c r="M16" s="11">
        <v>4.2509999999999897</v>
      </c>
      <c r="N16" s="11">
        <v>2.8421709430404007E-14</v>
      </c>
      <c r="O16" s="10">
        <v>0.24949999999999783</v>
      </c>
      <c r="P16" s="10">
        <v>2.7</v>
      </c>
      <c r="Q16" s="10">
        <v>0</v>
      </c>
      <c r="R16" s="10">
        <v>1500.7666000000004</v>
      </c>
      <c r="S16" s="10">
        <v>173.84999999999982</v>
      </c>
      <c r="T16" s="10">
        <v>48.857999999999997</v>
      </c>
    </row>
    <row r="17" spans="1:20" x14ac:dyDescent="0.25">
      <c r="A17" s="7">
        <v>44805</v>
      </c>
      <c r="B17" s="12">
        <f t="shared" si="0"/>
        <v>9</v>
      </c>
      <c r="C17" s="8">
        <v>600</v>
      </c>
      <c r="D17" s="8">
        <v>0</v>
      </c>
      <c r="E17" s="8">
        <v>0</v>
      </c>
      <c r="F17" s="8">
        <v>676</v>
      </c>
      <c r="G17" s="8">
        <v>0</v>
      </c>
      <c r="H17" s="8">
        <v>188373</v>
      </c>
      <c r="I17" s="8">
        <v>24063</v>
      </c>
      <c r="J17" s="8">
        <v>9548</v>
      </c>
      <c r="K17" s="8">
        <v>223260</v>
      </c>
      <c r="L17" s="7"/>
      <c r="M17" s="11">
        <v>4.0859999999999896</v>
      </c>
      <c r="N17" s="11">
        <v>2.8421709430404007E-14</v>
      </c>
      <c r="O17" s="10">
        <v>0</v>
      </c>
      <c r="P17" s="10">
        <v>2.7</v>
      </c>
      <c r="Q17" s="10">
        <v>0</v>
      </c>
      <c r="R17" s="10">
        <v>1547.4846000000005</v>
      </c>
      <c r="S17" s="10">
        <v>173.84999999999982</v>
      </c>
      <c r="T17" s="10">
        <v>49.833999999999996</v>
      </c>
    </row>
    <row r="18" spans="1:20" x14ac:dyDescent="0.25">
      <c r="A18" s="7">
        <v>44835</v>
      </c>
      <c r="B18" s="12">
        <f t="shared" si="0"/>
        <v>10</v>
      </c>
      <c r="C18" s="8">
        <v>903</v>
      </c>
      <c r="D18" s="8">
        <v>0</v>
      </c>
      <c r="E18" s="8">
        <v>0</v>
      </c>
      <c r="F18" s="8">
        <v>798</v>
      </c>
      <c r="G18" s="8">
        <v>0</v>
      </c>
      <c r="H18" s="8">
        <v>161543</v>
      </c>
      <c r="I18" s="8">
        <v>27401</v>
      </c>
      <c r="J18" s="8">
        <v>13146</v>
      </c>
      <c r="K18" s="8">
        <v>203791</v>
      </c>
      <c r="L18" s="7"/>
      <c r="M18" s="11">
        <v>4.0859999999999896</v>
      </c>
      <c r="N18" s="11">
        <v>2.8421709430404007E-14</v>
      </c>
      <c r="O18" s="10">
        <v>0</v>
      </c>
      <c r="P18" s="10">
        <v>2.7</v>
      </c>
      <c r="Q18" s="10">
        <v>0</v>
      </c>
      <c r="R18" s="10">
        <v>1617.4846000000005</v>
      </c>
      <c r="S18" s="10">
        <v>173.84999999999982</v>
      </c>
      <c r="T18" s="10">
        <v>49.833999999999996</v>
      </c>
    </row>
    <row r="19" spans="1:20" x14ac:dyDescent="0.25">
      <c r="A19" s="7">
        <v>44866</v>
      </c>
      <c r="B19" s="12">
        <f t="shared" si="0"/>
        <v>11</v>
      </c>
      <c r="C19" s="8">
        <v>1077</v>
      </c>
      <c r="D19" s="8">
        <v>0</v>
      </c>
      <c r="E19" s="8">
        <v>0</v>
      </c>
      <c r="F19" s="8">
        <v>819</v>
      </c>
      <c r="G19" s="8">
        <v>0</v>
      </c>
      <c r="H19" s="8">
        <v>111401</v>
      </c>
      <c r="I19" s="8">
        <v>32095</v>
      </c>
      <c r="J19" s="8">
        <v>15106</v>
      </c>
      <c r="K19" s="8">
        <v>160498</v>
      </c>
      <c r="L19" s="8"/>
      <c r="M19" s="11">
        <v>3.7734999999999896</v>
      </c>
      <c r="N19" s="11">
        <v>2.8421709430404007E-14</v>
      </c>
      <c r="O19" s="11">
        <v>0</v>
      </c>
      <c r="P19" s="11">
        <v>2.7</v>
      </c>
      <c r="Q19" s="11">
        <v>0</v>
      </c>
      <c r="R19" s="11">
        <v>1687.4846000000005</v>
      </c>
      <c r="S19" s="11">
        <v>173.84999999999982</v>
      </c>
      <c r="T19" s="11">
        <v>49.833999999999996</v>
      </c>
    </row>
    <row r="20" spans="1:20" x14ac:dyDescent="0.25">
      <c r="A20" s="7">
        <v>44896</v>
      </c>
      <c r="B20" s="12">
        <f t="shared" si="0"/>
        <v>12</v>
      </c>
      <c r="C20" s="8">
        <v>976</v>
      </c>
      <c r="D20" s="8">
        <v>16252</v>
      </c>
      <c r="E20" s="8">
        <v>0</v>
      </c>
      <c r="F20" s="8">
        <v>950</v>
      </c>
      <c r="G20" s="8">
        <v>0</v>
      </c>
      <c r="H20" s="8">
        <v>88227</v>
      </c>
      <c r="I20" s="8">
        <v>34773</v>
      </c>
      <c r="J20" s="8">
        <v>16451</v>
      </c>
      <c r="K20" s="8">
        <v>157629</v>
      </c>
      <c r="L20" s="7"/>
      <c r="M20" s="11">
        <v>3.4609999999999896</v>
      </c>
      <c r="N20" s="11">
        <v>11.950000000000028</v>
      </c>
      <c r="O20" s="10">
        <v>0</v>
      </c>
      <c r="P20" s="10">
        <v>2.7</v>
      </c>
      <c r="Q20" s="10">
        <v>0</v>
      </c>
      <c r="R20" s="10">
        <v>1757.4846000000005</v>
      </c>
      <c r="S20" s="10">
        <v>173.84999999999982</v>
      </c>
      <c r="T20" s="10">
        <v>49.833999999999996</v>
      </c>
    </row>
    <row r="21" spans="1:20" x14ac:dyDescent="0.25">
      <c r="A21" s="7">
        <v>44927</v>
      </c>
      <c r="B21" s="12">
        <f t="shared" si="0"/>
        <v>1</v>
      </c>
      <c r="C21" s="8">
        <v>918</v>
      </c>
      <c r="D21" s="8">
        <v>16252</v>
      </c>
      <c r="E21" s="8">
        <v>0</v>
      </c>
      <c r="F21" s="8">
        <v>934</v>
      </c>
      <c r="G21" s="8">
        <v>0</v>
      </c>
      <c r="H21" s="8">
        <v>104160</v>
      </c>
      <c r="I21" s="8">
        <v>36023</v>
      </c>
      <c r="J21" s="8">
        <v>13500</v>
      </c>
      <c r="K21" s="8">
        <v>171787</v>
      </c>
      <c r="L21" s="7"/>
      <c r="M21" s="11">
        <v>3.4609999999999896</v>
      </c>
      <c r="N21" s="11">
        <v>23.900000000000027</v>
      </c>
      <c r="O21" s="10">
        <v>0</v>
      </c>
      <c r="P21" s="10">
        <v>2.7</v>
      </c>
      <c r="Q21" s="10">
        <v>0</v>
      </c>
      <c r="R21" s="10">
        <v>1852.4846000000005</v>
      </c>
      <c r="S21" s="10">
        <v>173.84999999999982</v>
      </c>
      <c r="T21" s="10">
        <v>49.833999999999996</v>
      </c>
    </row>
    <row r="22" spans="1:20" x14ac:dyDescent="0.25">
      <c r="A22" s="7">
        <v>44958</v>
      </c>
      <c r="B22" s="12">
        <f t="shared" si="0"/>
        <v>2</v>
      </c>
      <c r="C22" s="8">
        <v>889</v>
      </c>
      <c r="D22" s="8">
        <v>16252</v>
      </c>
      <c r="E22" s="8">
        <v>0</v>
      </c>
      <c r="F22" s="8">
        <v>821</v>
      </c>
      <c r="G22" s="8">
        <v>0</v>
      </c>
      <c r="H22" s="8">
        <v>126271</v>
      </c>
      <c r="I22" s="8">
        <v>33834</v>
      </c>
      <c r="J22" s="8">
        <v>13486</v>
      </c>
      <c r="K22" s="8">
        <v>191553</v>
      </c>
      <c r="L22" s="7"/>
      <c r="M22" s="11">
        <v>3.4609999999999896</v>
      </c>
      <c r="N22" s="11">
        <v>23.900000000000027</v>
      </c>
      <c r="O22" s="10">
        <v>0</v>
      </c>
      <c r="P22" s="10">
        <v>2.7</v>
      </c>
      <c r="Q22" s="10">
        <v>0</v>
      </c>
      <c r="R22" s="10">
        <v>1912.4846000000005</v>
      </c>
      <c r="S22" s="10">
        <v>173.84999999999982</v>
      </c>
      <c r="T22" s="10">
        <v>49.833999999999996</v>
      </c>
    </row>
    <row r="23" spans="1:20" x14ac:dyDescent="0.25">
      <c r="A23" s="7">
        <v>44986</v>
      </c>
      <c r="B23" s="12">
        <f t="shared" si="0"/>
        <v>3</v>
      </c>
      <c r="C23" s="8">
        <v>1034</v>
      </c>
      <c r="D23" s="8">
        <v>16252</v>
      </c>
      <c r="E23" s="8">
        <v>0</v>
      </c>
      <c r="F23" s="8">
        <v>810</v>
      </c>
      <c r="G23" s="8">
        <v>0</v>
      </c>
      <c r="H23" s="8">
        <v>204842</v>
      </c>
      <c r="I23" s="8">
        <v>37567</v>
      </c>
      <c r="J23" s="8">
        <v>14353</v>
      </c>
      <c r="K23" s="8">
        <v>274858</v>
      </c>
      <c r="L23" s="7"/>
      <c r="M23" s="11">
        <v>3.4609999999999896</v>
      </c>
      <c r="N23" s="11">
        <v>23.900000000000027</v>
      </c>
      <c r="O23" s="10">
        <v>0</v>
      </c>
      <c r="P23" s="10">
        <v>2.7</v>
      </c>
      <c r="Q23" s="10">
        <v>0</v>
      </c>
      <c r="R23" s="10">
        <v>1912.4846000000005</v>
      </c>
      <c r="S23" s="10">
        <v>173.84999999999982</v>
      </c>
      <c r="T23" s="10">
        <v>49.833999999999996</v>
      </c>
    </row>
    <row r="24" spans="1:20" x14ac:dyDescent="0.25">
      <c r="A24" s="7">
        <v>45017</v>
      </c>
      <c r="B24" s="12">
        <f t="shared" si="0"/>
        <v>4</v>
      </c>
      <c r="C24" s="8">
        <v>805</v>
      </c>
      <c r="D24" s="8">
        <v>16252</v>
      </c>
      <c r="E24" s="8">
        <v>0</v>
      </c>
      <c r="F24" s="8">
        <v>796</v>
      </c>
      <c r="G24" s="8">
        <v>0</v>
      </c>
      <c r="H24" s="8">
        <v>240178</v>
      </c>
      <c r="I24" s="8">
        <v>37849</v>
      </c>
      <c r="J24" s="8">
        <v>15974</v>
      </c>
      <c r="K24" s="8">
        <v>311854</v>
      </c>
      <c r="L24" s="7"/>
      <c r="M24" s="11">
        <v>3.4609999999999896</v>
      </c>
      <c r="N24" s="11">
        <v>23.900000000000027</v>
      </c>
      <c r="O24" s="10">
        <v>0</v>
      </c>
      <c r="P24" s="10">
        <v>2.7</v>
      </c>
      <c r="Q24" s="10">
        <v>0</v>
      </c>
      <c r="R24" s="10">
        <v>1912.4846000000005</v>
      </c>
      <c r="S24" s="10">
        <v>173.84999999999982</v>
      </c>
      <c r="T24" s="10">
        <v>49.833999999999996</v>
      </c>
    </row>
    <row r="25" spans="1:20" x14ac:dyDescent="0.25">
      <c r="A25" s="7">
        <v>45047</v>
      </c>
      <c r="B25" s="12">
        <f t="shared" si="0"/>
        <v>5</v>
      </c>
      <c r="C25" s="8">
        <v>481</v>
      </c>
      <c r="D25" s="8">
        <v>16252</v>
      </c>
      <c r="E25" s="8">
        <v>0</v>
      </c>
      <c r="F25" s="8">
        <v>790</v>
      </c>
      <c r="G25" s="8">
        <v>0</v>
      </c>
      <c r="H25" s="8">
        <v>278705</v>
      </c>
      <c r="I25" s="8">
        <v>29998</v>
      </c>
      <c r="J25" s="8">
        <v>20403</v>
      </c>
      <c r="K25" s="8">
        <v>346629</v>
      </c>
      <c r="L25" s="7"/>
      <c r="M25" s="11">
        <v>3.4609999999999896</v>
      </c>
      <c r="N25" s="11">
        <v>23.900000000000027</v>
      </c>
      <c r="O25" s="10">
        <v>0</v>
      </c>
      <c r="P25" s="10">
        <v>2.7</v>
      </c>
      <c r="Q25" s="10">
        <v>0</v>
      </c>
      <c r="R25" s="10">
        <v>1922.4846000000005</v>
      </c>
      <c r="S25" s="10">
        <v>173.84999999999982</v>
      </c>
      <c r="T25" s="10">
        <v>49.833999999999996</v>
      </c>
    </row>
    <row r="26" spans="1:20" x14ac:dyDescent="0.25">
      <c r="A26" s="7">
        <v>45078</v>
      </c>
      <c r="B26" s="12">
        <f t="shared" si="0"/>
        <v>6</v>
      </c>
      <c r="C26" s="8">
        <v>586</v>
      </c>
      <c r="D26" s="8">
        <v>16252</v>
      </c>
      <c r="E26" s="8">
        <v>0</v>
      </c>
      <c r="F26" s="8">
        <v>584</v>
      </c>
      <c r="G26" s="8">
        <v>0</v>
      </c>
      <c r="H26" s="8">
        <v>310268</v>
      </c>
      <c r="I26" s="8">
        <v>22121</v>
      </c>
      <c r="J26" s="8">
        <v>17960</v>
      </c>
      <c r="K26" s="8">
        <v>367771</v>
      </c>
      <c r="L26" s="7"/>
      <c r="M26" s="11">
        <v>3.4609999999999896</v>
      </c>
      <c r="N26" s="11">
        <v>23.900000000000027</v>
      </c>
      <c r="O26" s="10">
        <v>0</v>
      </c>
      <c r="P26" s="10">
        <v>2.7</v>
      </c>
      <c r="Q26" s="10">
        <v>0</v>
      </c>
      <c r="R26" s="10">
        <v>1971.7696000000005</v>
      </c>
      <c r="S26" s="10">
        <v>173.84999999999982</v>
      </c>
      <c r="T26" s="10">
        <v>49.833999999999996</v>
      </c>
    </row>
    <row r="27" spans="1:20" x14ac:dyDescent="0.25">
      <c r="A27" s="7">
        <v>45108</v>
      </c>
      <c r="B27" s="12">
        <f t="shared" si="0"/>
        <v>7</v>
      </c>
      <c r="C27" s="8">
        <v>655</v>
      </c>
      <c r="D27" s="8">
        <v>16252</v>
      </c>
      <c r="E27" s="8">
        <v>0</v>
      </c>
      <c r="F27" s="8">
        <v>656</v>
      </c>
      <c r="G27" s="8">
        <v>0</v>
      </c>
      <c r="H27" s="8">
        <v>338286</v>
      </c>
      <c r="I27" s="8">
        <v>20488</v>
      </c>
      <c r="J27" s="8">
        <v>17944</v>
      </c>
      <c r="K27" s="8">
        <v>394281</v>
      </c>
      <c r="M27" s="10">
        <v>3.4609999999999896</v>
      </c>
      <c r="N27" s="10">
        <v>23.900000000000027</v>
      </c>
      <c r="O27" s="10">
        <v>0</v>
      </c>
      <c r="P27" s="10">
        <v>2.7</v>
      </c>
      <c r="Q27" s="10">
        <v>0</v>
      </c>
      <c r="R27" s="10">
        <v>2050.3396000000002</v>
      </c>
      <c r="S27" s="10">
        <v>173.84999999999982</v>
      </c>
      <c r="T27" s="10">
        <v>49.833999999999996</v>
      </c>
    </row>
    <row r="28" spans="1:20" x14ac:dyDescent="0.25">
      <c r="A28" s="7">
        <v>45139</v>
      </c>
      <c r="B28" s="12">
        <f t="shared" si="0"/>
        <v>8</v>
      </c>
      <c r="C28" s="8">
        <v>731</v>
      </c>
      <c r="D28" s="8">
        <v>16252</v>
      </c>
      <c r="E28" s="8">
        <v>0</v>
      </c>
      <c r="F28" s="8">
        <v>621</v>
      </c>
      <c r="G28" s="8">
        <v>0</v>
      </c>
      <c r="H28" s="8">
        <v>326257</v>
      </c>
      <c r="I28" s="8">
        <v>18631</v>
      </c>
      <c r="J28" s="8">
        <v>11555</v>
      </c>
      <c r="K28" s="8">
        <v>374047</v>
      </c>
      <c r="M28" s="10">
        <v>3.2959999999999896</v>
      </c>
      <c r="N28" s="10">
        <v>23.900000000000027</v>
      </c>
      <c r="O28" s="10">
        <v>0</v>
      </c>
      <c r="P28" s="10">
        <v>2.7</v>
      </c>
      <c r="Q28" s="10">
        <v>0</v>
      </c>
      <c r="R28" s="10">
        <v>2128.9096000000009</v>
      </c>
      <c r="S28" s="10">
        <v>173.84999999999982</v>
      </c>
      <c r="T28" s="10">
        <v>49.833999999999996</v>
      </c>
    </row>
    <row r="30" spans="1:20" x14ac:dyDescent="0.25">
      <c r="A30" s="6" t="s">
        <v>38</v>
      </c>
    </row>
  </sheetData>
  <sheetProtection algorithmName="SHA-512" hashValue="qNsPJb+KtLNaVqvnN8ZFc8wlGC+aCrksBhmIUnYO9dnSUZKtCmc5s3AihcI6e/rJDfi8yQ9fb9jpd0hV8C1ukg==" saltValue="JYqF/KHk+Qyam94rG7T4pw==" spinCount="100000" sheet="1" objects="1" scenarios="1" selectLockedCells="1" selectUnlockedCells="1"/>
  <mergeCells count="3">
    <mergeCell ref="C1:K1"/>
    <mergeCell ref="M1:T1"/>
    <mergeCell ref="A2:B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C7C8-CC4C-48B7-82BE-CF62FC7757BB}">
  <sheetPr codeName="Sheet4"/>
  <dimension ref="A1:I15"/>
  <sheetViews>
    <sheetView workbookViewId="0">
      <selection sqref="A1:XFD1048576"/>
    </sheetView>
  </sheetViews>
  <sheetFormatPr defaultRowHeight="14.3" x14ac:dyDescent="0.25"/>
  <sheetData>
    <row r="1" spans="1:9" x14ac:dyDescent="0.25">
      <c r="A1" s="9" t="s">
        <v>17</v>
      </c>
      <c r="B1" s="4" t="s">
        <v>2</v>
      </c>
      <c r="C1" s="4" t="s">
        <v>12</v>
      </c>
      <c r="D1" s="4" t="s">
        <v>13</v>
      </c>
      <c r="E1" s="4" t="s">
        <v>3</v>
      </c>
      <c r="F1" s="4" t="s">
        <v>4</v>
      </c>
      <c r="G1" s="4" t="s">
        <v>5</v>
      </c>
      <c r="H1" s="4" t="s">
        <v>6</v>
      </c>
      <c r="I1" s="4" t="s">
        <v>7</v>
      </c>
    </row>
    <row r="2" spans="1:9" x14ac:dyDescent="0.25">
      <c r="A2">
        <v>1</v>
      </c>
      <c r="B2" s="13">
        <f>IFERROR(AVERAGEIFS('FiT production volumes'!C:C,'FiT production volumes'!$B:$B,$A2)/AVERAGEIFS('FiT production volumes'!M:M,'FiT production volumes'!$B:$B,$A2),B$15/12)</f>
        <v>173.31819314814322</v>
      </c>
      <c r="C2" s="13">
        <f>IFERROR(AVERAGEIFS('FiT production volumes'!D:D,'FiT production volumes'!$B:$B,$A2)/AVERAGEIFS('FiT production volumes'!N:N,'FiT production volumes'!$B:$B,$A2),C$15/12)</f>
        <v>133.37710299548621</v>
      </c>
      <c r="D2" s="13">
        <f>IFERROR(AVERAGEIFS('FiT production volumes'!E:E,'FiT production volumes'!$B:$B,$A2)/AVERAGEIFS('FiT production volumes'!O:O,'FiT production volumes'!$B:$B,$A2),D$15/12)</f>
        <v>67.073170731707435</v>
      </c>
      <c r="E2" s="13">
        <f>IFERROR(AVERAGEIFS('FiT production volumes'!F:F,'FiT production volumes'!$B:$B,$A2)/AVERAGEIFS('FiT production volumes'!P:P,'FiT production volumes'!$B:$B,$A2),E$15/12)</f>
        <v>315.92592592592592</v>
      </c>
      <c r="F2" s="13">
        <f>IFERROR(AVERAGEIFS('FiT production volumes'!G:G,'FiT production volumes'!$B:$B,$A2)/AVERAGEIFS('FiT production volumes'!Q:Q,'FiT production volumes'!$B:$B,$A2),F$15/12)</f>
        <v>249.09505295616037</v>
      </c>
      <c r="G2" s="13">
        <f>IFERROR(AVERAGEIFS('FiT production volumes'!H:H,'FiT production volumes'!$B:$B,$A2)/AVERAGEIFS('FiT production volumes'!R:R,'FiT production volumes'!$B:$B,$A2),G$15/12)</f>
        <v>57.26543576564994</v>
      </c>
      <c r="H2" s="13">
        <f>IFERROR(AVERAGEIFS('FiT production volumes'!I:I,'FiT production volumes'!$B:$B,$A2)/AVERAGEIFS('FiT production volumes'!S:S,'FiT production volumes'!$B:$B,$A2),H$15/12)</f>
        <v>236.15528281750292</v>
      </c>
      <c r="I2" s="13">
        <f>IFERROR(AVERAGEIFS('FiT production volumes'!J:J,'FiT production volumes'!$B:$B,$A2)/AVERAGEIFS('FiT production volumes'!T:T,'FiT production volumes'!$B:$B,$A2),I$15/12)</f>
        <v>244.47552165110847</v>
      </c>
    </row>
    <row r="3" spans="1:9" x14ac:dyDescent="0.25">
      <c r="A3">
        <v>2</v>
      </c>
      <c r="B3" s="13">
        <f>IFERROR(AVERAGEIFS('FiT production volumes'!C:C,'FiT production volumes'!$B:$B,$A3)/AVERAGEIFS('FiT production volumes'!M:M,'FiT production volumes'!$B:$B,$A3),B$15/12)</f>
        <v>158.02745867189719</v>
      </c>
      <c r="C3" s="13">
        <f>IFERROR(AVERAGEIFS('FiT production volumes'!D:D,'FiT production volumes'!$B:$B,$A3)/AVERAGEIFS('FiT production volumes'!N:N,'FiT production volumes'!$B:$B,$A3),C$15/12)</f>
        <v>679.99999999999841</v>
      </c>
      <c r="D3" s="13">
        <f>IFERROR(AVERAGEIFS('FiT production volumes'!E:E,'FiT production volumes'!$B:$B,$A3)/AVERAGEIFS('FiT production volumes'!O:O,'FiT production volumes'!$B:$B,$A3),D$15/12)</f>
        <v>52.765093860984386</v>
      </c>
      <c r="E3" s="13">
        <f>IFERROR(AVERAGEIFS('FiT production volumes'!F:F,'FiT production volumes'!$B:$B,$A3)/AVERAGEIFS('FiT production volumes'!P:P,'FiT production volumes'!$B:$B,$A3),E$15/12)</f>
        <v>210.92592592592592</v>
      </c>
      <c r="F3" s="13">
        <f>IFERROR(AVERAGEIFS('FiT production volumes'!G:G,'FiT production volumes'!$B:$B,$A3)/AVERAGEIFS('FiT production volumes'!Q:Q,'FiT production volumes'!$B:$B,$A3),F$15/12)</f>
        <v>225.49939670197082</v>
      </c>
      <c r="G3" s="13">
        <f>IFERROR(AVERAGEIFS('FiT production volumes'!H:H,'FiT production volumes'!$B:$B,$A3)/AVERAGEIFS('FiT production volumes'!R:R,'FiT production volumes'!$B:$B,$A3),G$15/12)</f>
        <v>74.648921945819239</v>
      </c>
      <c r="H3" s="13">
        <f>IFERROR(AVERAGEIFS('FiT production volumes'!I:I,'FiT production volumes'!$B:$B,$A3)/AVERAGEIFS('FiT production volumes'!S:S,'FiT production volumes'!$B:$B,$A3),H$15/12)</f>
        <v>233.47118463180388</v>
      </c>
      <c r="I3" s="13">
        <f>IFERROR(AVERAGEIFS('FiT production volumes'!J:J,'FiT production volumes'!$B:$B,$A3)/AVERAGEIFS('FiT production volumes'!T:T,'FiT production volumes'!$B:$B,$A3),I$15/12)</f>
        <v>270.24233492979658</v>
      </c>
    </row>
    <row r="4" spans="1:9" x14ac:dyDescent="0.25">
      <c r="A4">
        <v>3</v>
      </c>
      <c r="B4" s="13">
        <f>IFERROR(AVERAGEIFS('FiT production volumes'!C:C,'FiT production volumes'!$B:$B,$A4)/AVERAGEIFS('FiT production volumes'!M:M,'FiT production volumes'!$B:$B,$A4),B$15/12)</f>
        <v>166.27176264551389</v>
      </c>
      <c r="C4" s="13">
        <f>IFERROR(AVERAGEIFS('FiT production volumes'!D:D,'FiT production volumes'!$B:$B,$A4)/AVERAGEIFS('FiT production volumes'!N:N,'FiT production volumes'!$B:$B,$A4),C$15/12)</f>
        <v>679.99999999999841</v>
      </c>
      <c r="D4" s="13">
        <f>IFERROR(AVERAGEIFS('FiT production volumes'!E:E,'FiT production volumes'!$B:$B,$A4)/AVERAGEIFS('FiT production volumes'!O:O,'FiT production volumes'!$B:$B,$A4),D$15/12)</f>
        <v>121.88044109112045</v>
      </c>
      <c r="E4" s="13">
        <f>IFERROR(AVERAGEIFS('FiT production volumes'!F:F,'FiT production volumes'!$B:$B,$A4)/AVERAGEIFS('FiT production volumes'!P:P,'FiT production volumes'!$B:$B,$A4),E$15/12)</f>
        <v>150</v>
      </c>
      <c r="F4" s="13">
        <f>IFERROR(AVERAGEIFS('FiT production volumes'!G:G,'FiT production volumes'!$B:$B,$A4)/AVERAGEIFS('FiT production volumes'!Q:Q,'FiT production volumes'!$B:$B,$A4),F$15/12)</f>
        <v>0</v>
      </c>
      <c r="G4" s="13">
        <f>IFERROR(AVERAGEIFS('FiT production volumes'!H:H,'FiT production volumes'!$B:$B,$A4)/AVERAGEIFS('FiT production volumes'!R:R,'FiT production volumes'!$B:$B,$A4),G$15/12)</f>
        <v>124.1977165069116</v>
      </c>
      <c r="H4" s="13">
        <f>IFERROR(AVERAGEIFS('FiT production volumes'!I:I,'FiT production volumes'!$B:$B,$A4)/AVERAGEIFS('FiT production volumes'!S:S,'FiT production volumes'!$B:$B,$A4),H$15/12)</f>
        <v>167.01707577374617</v>
      </c>
      <c r="I4" s="13">
        <f>IFERROR(AVERAGEIFS('FiT production volumes'!J:J,'FiT production volumes'!$B:$B,$A4)/AVERAGEIFS('FiT production volumes'!T:T,'FiT production volumes'!$B:$B,$A4),I$15/12)</f>
        <v>346.92373818003193</v>
      </c>
    </row>
    <row r="5" spans="1:9" x14ac:dyDescent="0.25">
      <c r="A5">
        <v>4</v>
      </c>
      <c r="B5" s="13">
        <f>IFERROR(AVERAGEIFS('FiT production volumes'!C:C,'FiT production volumes'!$B:$B,$A5)/AVERAGEIFS('FiT production volumes'!M:M,'FiT production volumes'!$B:$B,$A5),B$15/12)</f>
        <v>152.93993899232177</v>
      </c>
      <c r="C5" s="13">
        <f>IFERROR(AVERAGEIFS('FiT production volumes'!D:D,'FiT production volumes'!$B:$B,$A5)/AVERAGEIFS('FiT production volumes'!N:N,'FiT production volumes'!$B:$B,$A5),C$15/12)</f>
        <v>679.99999999999841</v>
      </c>
      <c r="D5" s="13">
        <f>IFERROR(AVERAGEIFS('FiT production volumes'!E:E,'FiT production volumes'!$B:$B,$A5)/AVERAGEIFS('FiT production volumes'!O:O,'FiT production volumes'!$B:$B,$A5),D$15/12)</f>
        <v>1.0131712259371879</v>
      </c>
      <c r="E5" s="13">
        <f>IFERROR(AVERAGEIFS('FiT production volumes'!F:F,'FiT production volumes'!$B:$B,$A5)/AVERAGEIFS('FiT production volumes'!P:P,'FiT production volumes'!$B:$B,$A5),E$15/12)</f>
        <v>147.40740740740739</v>
      </c>
      <c r="F5" s="13">
        <f>IFERROR(AVERAGEIFS('FiT production volumes'!G:G,'FiT production volumes'!$B:$B,$A5)/AVERAGEIFS('FiT production volumes'!Q:Q,'FiT production volumes'!$B:$B,$A5),F$15/12)</f>
        <v>215.90971822433229</v>
      </c>
      <c r="G5" s="13">
        <f>IFERROR(AVERAGEIFS('FiT production volumes'!H:H,'FiT production volumes'!$B:$B,$A5)/AVERAGEIFS('FiT production volumes'!R:R,'FiT production volumes'!$B:$B,$A5),G$15/12)</f>
        <v>134.51891217429755</v>
      </c>
      <c r="H5" s="13">
        <f>IFERROR(AVERAGEIFS('FiT production volumes'!I:I,'FiT production volumes'!$B:$B,$A5)/AVERAGEIFS('FiT production volumes'!S:S,'FiT production volumes'!$B:$B,$A5),H$15/12)</f>
        <v>209.51974386339401</v>
      </c>
      <c r="I5" s="13">
        <f>IFERROR(AVERAGEIFS('FiT production volumes'!J:J,'FiT production volumes'!$B:$B,$A5)/AVERAGEIFS('FiT production volumes'!T:T,'FiT production volumes'!$B:$B,$A5),I$15/12)</f>
        <v>238.77358876744853</v>
      </c>
    </row>
    <row r="6" spans="1:9" x14ac:dyDescent="0.25">
      <c r="A6">
        <v>5</v>
      </c>
      <c r="B6" s="13">
        <f>IFERROR(AVERAGEIFS('FiT production volumes'!C:C,'FiT production volumes'!$B:$B,$A6)/AVERAGEIFS('FiT production volumes'!M:M,'FiT production volumes'!$B:$B,$A6),B$15/12)</f>
        <v>122.48844955409935</v>
      </c>
      <c r="C6" s="13">
        <f>IFERROR(AVERAGEIFS('FiT production volumes'!D:D,'FiT production volumes'!$B:$B,$A6)/AVERAGEIFS('FiT production volumes'!N:N,'FiT production volumes'!$B:$B,$A6),C$15/12)</f>
        <v>679.99999999999841</v>
      </c>
      <c r="D6" s="13">
        <f>IFERROR(AVERAGEIFS('FiT production volumes'!E:E,'FiT production volumes'!$B:$B,$A6)/AVERAGEIFS('FiT production volumes'!O:O,'FiT production volumes'!$B:$B,$A6),D$15/12)</f>
        <v>118.23647294589281</v>
      </c>
      <c r="E6" s="13">
        <f>IFERROR(AVERAGEIFS('FiT production volumes'!F:F,'FiT production volumes'!$B:$B,$A6)/AVERAGEIFS('FiT production volumes'!P:P,'FiT production volumes'!$B:$B,$A6),E$15/12)</f>
        <v>146.29629629629628</v>
      </c>
      <c r="F6" s="13">
        <f>IFERROR(AVERAGEIFS('FiT production volumes'!G:G,'FiT production volumes'!$B:$B,$A6)/AVERAGEIFS('FiT production volumes'!Q:Q,'FiT production volumes'!$B:$B,$A6),F$15/12)</f>
        <v>215.90971822433229</v>
      </c>
      <c r="G6" s="13">
        <f>IFERROR(AVERAGEIFS('FiT production volumes'!H:H,'FiT production volumes'!$B:$B,$A6)/AVERAGEIFS('FiT production volumes'!R:R,'FiT production volumes'!$B:$B,$A6),G$15/12)</f>
        <v>159.75547855318695</v>
      </c>
      <c r="H6" s="13">
        <f>IFERROR(AVERAGEIFS('FiT production volumes'!I:I,'FiT production volumes'!$B:$B,$A6)/AVERAGEIFS('FiT production volumes'!S:S,'FiT production volumes'!$B:$B,$A6),H$15/12)</f>
        <v>130.72096128170907</v>
      </c>
      <c r="I6" s="13">
        <f>IFERROR(AVERAGEIFS('FiT production volumes'!J:J,'FiT production volumes'!$B:$B,$A6)/AVERAGEIFS('FiT production volumes'!T:T,'FiT production volumes'!$B:$B,$A6),I$15/12)</f>
        <v>365.64124606001064</v>
      </c>
    </row>
    <row r="7" spans="1:9" x14ac:dyDescent="0.25">
      <c r="A7">
        <v>6</v>
      </c>
      <c r="B7" s="13">
        <f>IFERROR(AVERAGEIFS('FiT production volumes'!C:C,'FiT production volumes'!$B:$B,$A7)/AVERAGEIFS('FiT production volumes'!M:M,'FiT production volumes'!$B:$B,$A7),B$15/12)</f>
        <v>96.601489757914578</v>
      </c>
      <c r="C7" s="13">
        <f>IFERROR(AVERAGEIFS('FiT production volumes'!D:D,'FiT production volumes'!$B:$B,$A7)/AVERAGEIFS('FiT production volumes'!N:N,'FiT production volumes'!$B:$B,$A7),C$15/12)</f>
        <v>679.99999999999841</v>
      </c>
      <c r="D7" s="13">
        <f>IFERROR(AVERAGEIFS('FiT production volumes'!E:E,'FiT production volumes'!$B:$B,$A7)/AVERAGEIFS('FiT production volumes'!O:O,'FiT production volumes'!$B:$B,$A7),D$15/12)</f>
        <v>2.0040080160320817</v>
      </c>
      <c r="E7" s="13">
        <f>IFERROR(AVERAGEIFS('FiT production volumes'!F:F,'FiT production volumes'!$B:$B,$A7)/AVERAGEIFS('FiT production volumes'!P:P,'FiT production volumes'!$B:$B,$A7),E$15/12)</f>
        <v>108.14814814814814</v>
      </c>
      <c r="F7" s="13">
        <f>IFERROR(AVERAGEIFS('FiT production volumes'!G:G,'FiT production volumes'!$B:$B,$A7)/AVERAGEIFS('FiT production volumes'!Q:Q,'FiT production volumes'!$B:$B,$A7),F$15/12)</f>
        <v>215.90971822433229</v>
      </c>
      <c r="G7" s="13">
        <f>IFERROR(AVERAGEIFS('FiT production volumes'!H:H,'FiT production volumes'!$B:$B,$A7)/AVERAGEIFS('FiT production volumes'!R:R,'FiT production volumes'!$B:$B,$A7),G$15/12)</f>
        <v>174.3366212125556</v>
      </c>
      <c r="H7" s="13">
        <f>IFERROR(AVERAGEIFS('FiT production volumes'!I:I,'FiT production volumes'!$B:$B,$A7)/AVERAGEIFS('FiT production volumes'!S:S,'FiT production volumes'!$B:$B,$A7),H$15/12)</f>
        <v>124.09406734366661</v>
      </c>
      <c r="I7" s="13">
        <f>IFERROR(AVERAGEIFS('FiT production volumes'!J:J,'FiT production volumes'!$B:$B,$A7)/AVERAGEIFS('FiT production volumes'!T:T,'FiT production volumes'!$B:$B,$A7),I$15/12)</f>
        <v>316.5193008309796</v>
      </c>
    </row>
    <row r="8" spans="1:9" x14ac:dyDescent="0.25">
      <c r="A8">
        <v>7</v>
      </c>
      <c r="B8" s="13">
        <f>IFERROR(AVERAGEIFS('FiT production volumes'!C:C,'FiT production volumes'!$B:$B,$A8)/AVERAGEIFS('FiT production volumes'!M:M,'FiT production volumes'!$B:$B,$A8),B$15/12)</f>
        <v>248.74522907433578</v>
      </c>
      <c r="C8" s="13">
        <f>IFERROR(AVERAGEIFS('FiT production volumes'!D:D,'FiT production volumes'!$B:$B,$A8)/AVERAGEIFS('FiT production volumes'!N:N,'FiT production volumes'!$B:$B,$A8),C$15/12)</f>
        <v>385.58250497017883</v>
      </c>
      <c r="D8" s="13">
        <f>IFERROR(AVERAGEIFS('FiT production volumes'!E:E,'FiT production volumes'!$B:$B,$A8)/AVERAGEIFS('FiT production volumes'!O:O,'FiT production volumes'!$B:$B,$A8),D$15/12)</f>
        <v>189.85507246376861</v>
      </c>
      <c r="E8" s="13">
        <f>IFERROR(AVERAGEIFS('FiT production volumes'!F:F,'FiT production volumes'!$B:$B,$A8)/AVERAGEIFS('FiT production volumes'!P:P,'FiT production volumes'!$B:$B,$A8),E$15/12)</f>
        <v>191.48148148148144</v>
      </c>
      <c r="F8" s="13">
        <f>IFERROR(AVERAGEIFS('FiT production volumes'!G:G,'FiT production volumes'!$B:$B,$A8)/AVERAGEIFS('FiT production volumes'!Q:Q,'FiT production volumes'!$B:$B,$A8),F$15/12)</f>
        <v>201.09934307547931</v>
      </c>
      <c r="G8" s="13">
        <f>IFERROR(AVERAGEIFS('FiT production volumes'!H:H,'FiT production volumes'!$B:$B,$A8)/AVERAGEIFS('FiT production volumes'!R:R,'FiT production volumes'!$B:$B,$A8),G$15/12)</f>
        <v>164.59601906772204</v>
      </c>
      <c r="H8" s="13">
        <f>IFERROR(AVERAGEIFS('FiT production volumes'!I:I,'FiT production volumes'!$B:$B,$A8)/AVERAGEIFS('FiT production volumes'!S:S,'FiT production volumes'!$B:$B,$A8),H$15/12)</f>
        <v>118.25497446733593</v>
      </c>
      <c r="I8" s="13">
        <f>IFERROR(AVERAGEIFS('FiT production volumes'!J:J,'FiT production volumes'!$B:$B,$A8)/AVERAGEIFS('FiT production volumes'!T:T,'FiT production volumes'!$B:$B,$A8),I$15/12)</f>
        <v>385.33214678322781</v>
      </c>
    </row>
    <row r="9" spans="1:9" x14ac:dyDescent="0.25">
      <c r="A9">
        <v>8</v>
      </c>
      <c r="B9" s="13">
        <f>IFERROR(AVERAGEIFS('FiT production volumes'!C:C,'FiT production volumes'!$B:$B,$A9)/AVERAGEIFS('FiT production volumes'!M:M,'FiT production volumes'!$B:$B,$A9),B$15/12)</f>
        <v>259.1422525556585</v>
      </c>
      <c r="C9" s="13">
        <f>IFERROR(AVERAGEIFS('FiT production volumes'!D:D,'FiT production volumes'!$B:$B,$A9)/AVERAGEIFS('FiT production volumes'!N:N,'FiT production volumes'!$B:$B,$A9),C$15/12)</f>
        <v>343.07355864811126</v>
      </c>
      <c r="D9" s="13">
        <f>IFERROR(AVERAGEIFS('FiT production volumes'!E:E,'FiT production volumes'!$B:$B,$A9)/AVERAGEIFS('FiT production volumes'!O:O,'FiT production volumes'!$B:$B,$A9),D$15/12)</f>
        <v>194.34463365099242</v>
      </c>
      <c r="E9" s="13">
        <f>IFERROR(AVERAGEIFS('FiT production volumes'!F:F,'FiT production volumes'!$B:$B,$A9)/AVERAGEIFS('FiT production volumes'!P:P,'FiT production volumes'!$B:$B,$A9),E$15/12)</f>
        <v>171.85185185185182</v>
      </c>
      <c r="F9" s="13">
        <f>IFERROR(AVERAGEIFS('FiT production volumes'!G:G,'FiT production volumes'!$B:$B,$A9)/AVERAGEIFS('FiT production volumes'!Q:Q,'FiT production volumes'!$B:$B,$A9),F$15/12)</f>
        <v>229.25325110604641</v>
      </c>
      <c r="G9" s="13">
        <f>IFERROR(AVERAGEIFS('FiT production volumes'!H:H,'FiT production volumes'!$B:$B,$A9)/AVERAGEIFS('FiT production volumes'!R:R,'FiT production volumes'!$B:$B,$A9),G$15/12)</f>
        <v>151.56235705803132</v>
      </c>
      <c r="H9" s="13">
        <f>IFERROR(AVERAGEIFS('FiT production volumes'!I:I,'FiT production volumes'!$B:$B,$A9)/AVERAGEIFS('FiT production volumes'!S:S,'FiT production volumes'!$B:$B,$A9),H$15/12)</f>
        <v>102.9658343099253</v>
      </c>
      <c r="I9" s="13">
        <f>IFERROR(AVERAGEIFS('FiT production volumes'!J:J,'FiT production volumes'!$B:$B,$A9)/AVERAGEIFS('FiT production volumes'!T:T,'FiT production volumes'!$B:$B,$A9),I$15/12)</f>
        <v>254.22626788036416</v>
      </c>
    </row>
    <row r="10" spans="1:9" x14ac:dyDescent="0.25">
      <c r="A10">
        <v>9</v>
      </c>
      <c r="B10" s="13">
        <f>IFERROR(AVERAGEIFS('FiT production volumes'!C:C,'FiT production volumes'!$B:$B,$A10)/AVERAGEIFS('FiT production volumes'!M:M,'FiT production volumes'!$B:$B,$A10),B$15/12)</f>
        <v>274.81655821680761</v>
      </c>
      <c r="C10" s="13">
        <f>IFERROR(AVERAGEIFS('FiT production volumes'!D:D,'FiT production volumes'!$B:$B,$A10)/AVERAGEIFS('FiT production volumes'!N:N,'FiT production volumes'!$B:$B,$A10),C$15/12)</f>
        <v>269.69244288224951</v>
      </c>
      <c r="D10" s="13">
        <f>IFERROR(AVERAGEIFS('FiT production volumes'!E:E,'FiT production volumes'!$B:$B,$A10)/AVERAGEIFS('FiT production volumes'!O:O,'FiT production volumes'!$B:$B,$A10),D$15/12)</f>
        <v>138.59708573364981</v>
      </c>
      <c r="E10" s="13">
        <f>IFERROR(AVERAGEIFS('FiT production volumes'!F:F,'FiT production volumes'!$B:$B,$A10)/AVERAGEIFS('FiT production volumes'!P:P,'FiT production volumes'!$B:$B,$A10),E$15/12)</f>
        <v>172.59259259259258</v>
      </c>
      <c r="F10" s="13">
        <f>IFERROR(AVERAGEIFS('FiT production volumes'!G:G,'FiT production volumes'!$B:$B,$A10)/AVERAGEIFS('FiT production volumes'!Q:Q,'FiT production volumes'!$B:$B,$A10),F$15/12)</f>
        <v>239.97854940340531</v>
      </c>
      <c r="G10" s="13">
        <f>IFERROR(AVERAGEIFS('FiT production volumes'!H:H,'FiT production volumes'!$B:$B,$A10)/AVERAGEIFS('FiT production volumes'!R:R,'FiT production volumes'!$B:$B,$A10),G$15/12)</f>
        <v>121.8564888689928</v>
      </c>
      <c r="H10" s="13">
        <f>IFERROR(AVERAGEIFS('FiT production volumes'!I:I,'FiT production volumes'!$B:$B,$A10)/AVERAGEIFS('FiT production volumes'!S:S,'FiT production volumes'!$B:$B,$A10),H$15/12)</f>
        <v>111.94312796208543</v>
      </c>
      <c r="I10" s="13">
        <f>IFERROR(AVERAGEIFS('FiT production volumes'!J:J,'FiT production volumes'!$B:$B,$A10)/AVERAGEIFS('FiT production volumes'!T:T,'FiT production volumes'!$B:$B,$A10),I$15/12)</f>
        <v>242.18139543747978</v>
      </c>
    </row>
    <row r="11" spans="1:9" x14ac:dyDescent="0.25">
      <c r="A11">
        <v>10</v>
      </c>
      <c r="B11" s="13">
        <f>IFERROR(AVERAGEIFS('FiT production volumes'!C:C,'FiT production volumes'!$B:$B,$A11)/AVERAGEIFS('FiT production volumes'!M:M,'FiT production volumes'!$B:$B,$A11),B$15/12)</f>
        <v>308.73598227883173</v>
      </c>
      <c r="C11" s="13">
        <f>IFERROR(AVERAGEIFS('FiT production volumes'!D:D,'FiT production volumes'!$B:$B,$A11)/AVERAGEIFS('FiT production volumes'!N:N,'FiT production volumes'!$B:$B,$A11),C$15/12)</f>
        <v>319.94727592267128</v>
      </c>
      <c r="D11" s="13">
        <f>IFERROR(AVERAGEIFS('FiT production volumes'!E:E,'FiT production volumes'!$B:$B,$A11)/AVERAGEIFS('FiT production volumes'!O:O,'FiT production volumes'!$B:$B,$A11),D$15/12)</f>
        <v>86.145010768126483</v>
      </c>
      <c r="E11" s="13">
        <f>IFERROR(AVERAGEIFS('FiT production volumes'!F:F,'FiT production volumes'!$B:$B,$A11)/AVERAGEIFS('FiT production volumes'!P:P,'FiT production volumes'!$B:$B,$A11),E$15/12)</f>
        <v>197.2222222222222</v>
      </c>
      <c r="F11" s="13">
        <f>IFERROR(AVERAGEIFS('FiT production volumes'!G:G,'FiT production volumes'!$B:$B,$A11)/AVERAGEIFS('FiT production volumes'!Q:Q,'FiT production volumes'!$B:$B,$A11),F$15/12)</f>
        <v>182.59820351253524</v>
      </c>
      <c r="G11" s="13">
        <f>IFERROR(AVERAGEIFS('FiT production volumes'!H:H,'FiT production volumes'!$B:$B,$A11)/AVERAGEIFS('FiT production volumes'!R:R,'FiT production volumes'!$B:$B,$A11),G$15/12)</f>
        <v>102.98327133462593</v>
      </c>
      <c r="H11" s="13">
        <f>IFERROR(AVERAGEIFS('FiT production volumes'!I:I,'FiT production volumes'!$B:$B,$A11)/AVERAGEIFS('FiT production volumes'!S:S,'FiT production volumes'!$B:$B,$A11),H$15/12)</f>
        <v>167.23663313922728</v>
      </c>
      <c r="I11" s="13">
        <f>IFERROR(AVERAGEIFS('FiT production volumes'!J:J,'FiT production volumes'!$B:$B,$A11)/AVERAGEIFS('FiT production volumes'!T:T,'FiT production volumes'!$B:$B,$A11),I$15/12)</f>
        <v>245.46923361429603</v>
      </c>
    </row>
    <row r="12" spans="1:9" x14ac:dyDescent="0.25">
      <c r="A12">
        <v>11</v>
      </c>
      <c r="B12" s="13">
        <f>IFERROR(AVERAGEIFS('FiT production volumes'!C:C,'FiT production volumes'!$B:$B,$A12)/AVERAGEIFS('FiT production volumes'!M:M,'FiT production volumes'!$B:$B,$A12),B$15/12)</f>
        <v>284.18971640511575</v>
      </c>
      <c r="C12" s="13">
        <f>IFERROR(AVERAGEIFS('FiT production volumes'!D:D,'FiT production volumes'!$B:$B,$A12)/AVERAGEIFS('FiT production volumes'!N:N,'FiT production volumes'!$B:$B,$A12),C$15/12)</f>
        <v>308.07117750439363</v>
      </c>
      <c r="D12" s="13">
        <f>IFERROR(AVERAGEIFS('FiT production volumes'!E:E,'FiT production volumes'!$B:$B,$A12)/AVERAGEIFS('FiT production volumes'!O:O,'FiT production volumes'!$B:$B,$A12),D$15/12)</f>
        <v>140.78595955742108</v>
      </c>
      <c r="E12" s="13">
        <f>IFERROR(AVERAGEIFS('FiT production volumes'!F:F,'FiT production volumes'!$B:$B,$A12)/AVERAGEIFS('FiT production volumes'!P:P,'FiT production volumes'!$B:$B,$A12),E$15/12)</f>
        <v>244.62962962962962</v>
      </c>
      <c r="F12" s="13">
        <f>IFERROR(AVERAGEIFS('FiT production volumes'!G:G,'FiT production volumes'!$B:$B,$A12)/AVERAGEIFS('FiT production volumes'!Q:Q,'FiT production volumes'!$B:$B,$A12),F$15/12)</f>
        <v>236.89502614291465</v>
      </c>
      <c r="G12" s="13">
        <f>IFERROR(AVERAGEIFS('FiT production volumes'!H:H,'FiT production volumes'!$B:$B,$A12)/AVERAGEIFS('FiT production volumes'!R:R,'FiT production volumes'!$B:$B,$A12),G$15/12)</f>
        <v>58.6894731082158</v>
      </c>
      <c r="H12" s="13">
        <f>IFERROR(AVERAGEIFS('FiT production volumes'!I:I,'FiT production volumes'!$B:$B,$A12)/AVERAGEIFS('FiT production volumes'!S:S,'FiT production volumes'!$B:$B,$A12),H$15/12)</f>
        <v>164.69479830148637</v>
      </c>
      <c r="I12" s="13">
        <f>IFERROR(AVERAGEIFS('FiT production volumes'!J:J,'FiT production volumes'!$B:$B,$A12)/AVERAGEIFS('FiT production volumes'!T:T,'FiT production volumes'!$B:$B,$A12),I$15/12)</f>
        <v>299.01931531101428</v>
      </c>
    </row>
    <row r="13" spans="1:9" x14ac:dyDescent="0.25">
      <c r="A13">
        <v>12</v>
      </c>
      <c r="B13" s="13">
        <f>IFERROR(AVERAGEIFS('FiT production volumes'!C:C,'FiT production volumes'!$B:$B,$A13)/AVERAGEIFS('FiT production volumes'!M:M,'FiT production volumes'!$B:$B,$A13),B$15/12)</f>
        <v>315.98534186492515</v>
      </c>
      <c r="C13" s="13">
        <f>IFERROR(AVERAGEIFS('FiT production volumes'!D:D,'FiT production volumes'!$B:$B,$A13)/AVERAGEIFS('FiT production volumes'!N:N,'FiT production volumes'!$B:$B,$A13),C$15/12)</f>
        <v>334.82342422887791</v>
      </c>
      <c r="D13" s="13">
        <f>IFERROR(AVERAGEIFS('FiT production volumes'!E:E,'FiT production volumes'!$B:$B,$A13)/AVERAGEIFS('FiT production volumes'!O:O,'FiT production volumes'!$B:$B,$A13),D$15/12)</f>
        <v>117.51239984738669</v>
      </c>
      <c r="E13" s="13">
        <f>IFERROR(AVERAGEIFS('FiT production volumes'!F:F,'FiT production volumes'!$B:$B,$A13)/AVERAGEIFS('FiT production volumes'!P:P,'FiT production volumes'!$B:$B,$A13),E$15/12)</f>
        <v>326.85185185185185</v>
      </c>
      <c r="F13" s="13">
        <f>IFERROR(AVERAGEIFS('FiT production volumes'!G:G,'FiT production volumes'!$B:$B,$A13)/AVERAGEIFS('FiT production volumes'!Q:Q,'FiT production volumes'!$B:$B,$A13),F$15/12)</f>
        <v>270.81378200831216</v>
      </c>
      <c r="G13" s="13">
        <f>IFERROR(AVERAGEIFS('FiT production volumes'!H:H,'FiT production volumes'!$B:$B,$A13)/AVERAGEIFS('FiT production volumes'!R:R,'FiT production volumes'!$B:$B,$A13),G$15/12)</f>
        <v>42.34719082781131</v>
      </c>
      <c r="H13" s="13">
        <f>IFERROR(AVERAGEIFS('FiT production volumes'!I:I,'FiT production volumes'!$B:$B,$A13)/AVERAGEIFS('FiT production volumes'!S:S,'FiT production volumes'!$B:$B,$A13),H$15/12)</f>
        <v>189.19372006386396</v>
      </c>
      <c r="I13" s="13">
        <f>IFERROR(AVERAGEIFS('FiT production volumes'!J:J,'FiT production volumes'!$B:$B,$A13)/AVERAGEIFS('FiT production volumes'!T:T,'FiT production volumes'!$B:$B,$A13),I$15/12)</f>
        <v>326.78111887067632</v>
      </c>
    </row>
    <row r="15" spans="1:9" x14ac:dyDescent="0.25">
      <c r="A15" s="9" t="s">
        <v>16</v>
      </c>
      <c r="B15" s="13">
        <f>AVERAGE('FiT production volumes'!C:C)/AVERAGE('FiT production volumes'!M:M)*12</f>
        <v>2941.0013433540321</v>
      </c>
      <c r="C15" s="13">
        <f>AVERAGE('FiT production volumes'!D:D)/AVERAGE('FiT production volumes'!N:N)*12</f>
        <v>4070.5430535784576</v>
      </c>
      <c r="D15" s="13">
        <f>AVERAGE('FiT production volumes'!E:E)/AVERAGE('FiT production volumes'!O:O)*12</f>
        <v>1467.8669765080392</v>
      </c>
      <c r="E15" s="13">
        <f>AVERAGE('FiT production volumes'!F:F)/AVERAGE('FiT production volumes'!P:P)*12</f>
        <v>2367.6923076923067</v>
      </c>
      <c r="F15" s="13">
        <f>AVERAGE('FiT production volumes'!G:G)/AVERAGE('FiT production volumes'!Q:Q)*12</f>
        <v>2590.9166186919874</v>
      </c>
      <c r="G15" s="13">
        <f>AVERAGE('FiT production volumes'!H:H)/AVERAGE('FiT production volumes'!R:R)*12</f>
        <v>1406.9799678510187</v>
      </c>
      <c r="H15" s="13">
        <f>AVERAGE('FiT production volumes'!I:I)/AVERAGE('FiT production volumes'!S:S)*12</f>
        <v>1907.0918832532575</v>
      </c>
      <c r="I15" s="13">
        <f>AVERAGE('FiT production volumes'!J:J)/AVERAGE('FiT production volumes'!T:T)*12</f>
        <v>3555.2959668927242</v>
      </c>
    </row>
  </sheetData>
  <sheetProtection algorithmName="SHA-512" hashValue="BScS55hn8XxSYYps74mk5kKdINZtkt79WCctPqaEGVML85mLq3cnLpaTcZ7U6npT3oV75LrBKrDmpiOBLmeI5Q==" saltValue="OGu3bPCAFaOqXIRIf54jsg=="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939B-B67D-4547-ADC3-8E793C40D416}">
  <sheetPr codeName="Sheet5"/>
  <dimension ref="A2:H13"/>
  <sheetViews>
    <sheetView workbookViewId="0">
      <selection activeCell="B2" sqref="B2"/>
    </sheetView>
  </sheetViews>
  <sheetFormatPr defaultRowHeight="14.3" x14ac:dyDescent="0.25"/>
  <cols>
    <col min="1" max="1" width="10.625" bestFit="1" customWidth="1"/>
    <col min="2" max="2" width="12.5" customWidth="1"/>
    <col min="3" max="3" width="9.875" bestFit="1" customWidth="1"/>
    <col min="4" max="5" width="9.875" customWidth="1"/>
    <col min="7" max="7" width="11.25" bestFit="1" customWidth="1"/>
  </cols>
  <sheetData>
    <row r="2" spans="1:8" ht="14.3" customHeight="1" x14ac:dyDescent="0.25">
      <c r="A2" s="9"/>
      <c r="B2" s="3">
        <v>44852</v>
      </c>
      <c r="C2" s="3">
        <v>44887</v>
      </c>
      <c r="D2" s="3">
        <v>44915</v>
      </c>
      <c r="E2" s="3"/>
      <c r="F2" t="s">
        <v>8</v>
      </c>
      <c r="G2" t="s">
        <v>41</v>
      </c>
    </row>
    <row r="3" spans="1:8" ht="28.55" x14ac:dyDescent="0.25">
      <c r="A3" s="28" t="s">
        <v>54</v>
      </c>
      <c r="B3">
        <v>5.24</v>
      </c>
      <c r="C3">
        <v>8.16</v>
      </c>
      <c r="D3">
        <v>6.35</v>
      </c>
      <c r="F3" t="s">
        <v>9</v>
      </c>
      <c r="G3" t="s">
        <v>11</v>
      </c>
      <c r="H3" t="s">
        <v>14</v>
      </c>
    </row>
    <row r="4" spans="1:8" ht="28.55" x14ac:dyDescent="0.25">
      <c r="A4" s="28" t="s">
        <v>53</v>
      </c>
      <c r="B4">
        <v>0.39</v>
      </c>
      <c r="C4">
        <v>0.11</v>
      </c>
      <c r="D4">
        <v>1.42</v>
      </c>
      <c r="F4" t="s">
        <v>10</v>
      </c>
      <c r="G4" t="s">
        <v>29</v>
      </c>
      <c r="H4" t="s">
        <v>24</v>
      </c>
    </row>
    <row r="6" spans="1:8" x14ac:dyDescent="0.25">
      <c r="A6" t="s">
        <v>39</v>
      </c>
    </row>
    <row r="7" spans="1:8" x14ac:dyDescent="0.25">
      <c r="A7" s="29" t="s">
        <v>55</v>
      </c>
    </row>
    <row r="13" spans="1:8" x14ac:dyDescent="0.25">
      <c r="C13" t="s">
        <v>40</v>
      </c>
    </row>
  </sheetData>
  <sheetProtection algorithmName="SHA-512" hashValue="2KGTgs24/QQWmWEVRxi+jo+C0+nk3CCPlmtxuL/HQr8XmUpIwmXHazpIUc0ol+uHgClB11nTCEyWJWkTa8AKoA==" saltValue="UwlZHlYpNZ/VrxIDDc4xcQ==" spinCount="100000" sheet="1" objects="1" scenarios="1"/>
  <hyperlinks>
    <hyperlink ref="A7" r:id="rId1" xr:uid="{C6331024-8429-48A2-8163-471F1734DB10}"/>
    <hyperlink ref="G13" r:id="rId2" display="https://www.greenfact.com/" xr:uid="{0C2D1551-C8C2-48C2-8CAE-8EDE03F3B8A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Calculator</vt:lpstr>
      <vt:lpstr>Profitability range</vt:lpstr>
      <vt:lpstr>10 MW business case</vt:lpstr>
      <vt:lpstr>HUN</vt:lpstr>
      <vt:lpstr>Charts</vt:lpstr>
      <vt:lpstr>FiT production volumes</vt:lpstr>
      <vt:lpstr>Hungarian capacity factors</vt:lpstr>
      <vt:lpstr>Last prices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Lichtl Botond</dc:creator>
  <cp:lastModifiedBy>Pintér László</cp:lastModifiedBy>
  <dcterms:created xsi:type="dcterms:W3CDTF">2022-08-01T08:10:14Z</dcterms:created>
  <dcterms:modified xsi:type="dcterms:W3CDTF">2023-01-12T13:19:10Z</dcterms:modified>
</cp:coreProperties>
</file>